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Grants\RAISE 2024\BCA\"/>
    </mc:Choice>
  </mc:AlternateContent>
  <bookViews>
    <workbookView xWindow="-28920" yWindow="-120" windowWidth="29040" windowHeight="15840" tabRatio="1000" firstSheet="1" activeTab="1"/>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1-CYCLING RECREATION" sheetId="24" r:id="rId15"/>
    <sheet name="Other 2-WALKING RECREATION" sheetId="25" r:id="rId16"/>
    <sheet name="Other 3-MOBILITY" sheetId="26" r:id="rId17"/>
    <sheet name="Other Benefit 4" sheetId="27" r:id="rId18"/>
    <sheet name="Summary" sheetId="11" r:id="rId19"/>
    <sheet name="Final Results" sheetId="3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2" l="1"/>
  <c r="B37" i="11"/>
  <c r="F13" i="26"/>
  <c r="F17" i="22"/>
  <c r="C34" i="20"/>
  <c r="Q35" i="33"/>
  <c r="H19" i="3"/>
  <c r="B11" i="2" l="1"/>
  <c r="B10" i="2"/>
  <c r="B9" i="2"/>
  <c r="N33" i="33" l="1"/>
  <c r="N39" i="33" s="1"/>
  <c r="M33" i="33"/>
  <c r="M39" i="33" s="1"/>
  <c r="N32" i="33"/>
  <c r="N38" i="33" s="1"/>
  <c r="M32" i="33"/>
  <c r="M38" i="33" s="1"/>
  <c r="N31" i="33"/>
  <c r="M31" i="33"/>
  <c r="M37" i="33" s="1"/>
  <c r="N27" i="33"/>
  <c r="K33" i="33" s="1"/>
  <c r="K39" i="33" s="1"/>
  <c r="N26" i="33"/>
  <c r="J33" i="33" s="1"/>
  <c r="J39" i="33" s="1"/>
  <c r="N25" i="33"/>
  <c r="I32" i="33" s="1"/>
  <c r="I38" i="33" s="1"/>
  <c r="S30" i="33" l="1"/>
  <c r="K32" i="33"/>
  <c r="K38" i="33" s="1"/>
  <c r="J31" i="33"/>
  <c r="J37" i="33" s="1"/>
  <c r="K31" i="33"/>
  <c r="K37" i="33" s="1"/>
  <c r="J32" i="33"/>
  <c r="J38" i="33" s="1"/>
  <c r="N37" i="33"/>
  <c r="S31" i="33" s="1"/>
  <c r="I31" i="33"/>
  <c r="Q30" i="33"/>
  <c r="R30" i="33"/>
  <c r="I33" i="33"/>
  <c r="I39" i="33" s="1"/>
  <c r="Q33" i="33" l="1"/>
  <c r="F10" i="26"/>
  <c r="Q32" i="33"/>
  <c r="R33" i="33"/>
  <c r="R32" i="33"/>
  <c r="R31" i="33"/>
  <c r="E10" i="20" s="1"/>
  <c r="G10" i="20" s="1"/>
  <c r="I37" i="33"/>
  <c r="S33" i="33" s="1"/>
  <c r="S32" i="33"/>
  <c r="Q31" i="33"/>
  <c r="B27" i="26" l="1"/>
  <c r="B25" i="26"/>
  <c r="B13" i="26"/>
  <c r="B12" i="26"/>
  <c r="B11" i="26"/>
  <c r="B8" i="26"/>
  <c r="B16" i="26"/>
  <c r="B26" i="26"/>
  <c r="B24" i="26"/>
  <c r="B23" i="26"/>
  <c r="B22" i="26"/>
  <c r="B10" i="26"/>
  <c r="B21" i="26"/>
  <c r="B9" i="26"/>
  <c r="B20" i="26"/>
  <c r="B17" i="26"/>
  <c r="B15" i="26"/>
  <c r="B14" i="26"/>
  <c r="B19" i="26"/>
  <c r="B18" i="26"/>
  <c r="F14" i="24"/>
  <c r="F11" i="24"/>
  <c r="L38" i="31"/>
  <c r="K38" i="31"/>
  <c r="L37" i="31"/>
  <c r="K37" i="31"/>
  <c r="L35" i="31"/>
  <c r="K35" i="31"/>
  <c r="L34" i="31"/>
  <c r="K34" i="31"/>
  <c r="N26" i="31"/>
  <c r="N27" i="31"/>
  <c r="L36" i="31"/>
  <c r="K36" i="31"/>
  <c r="I43" i="31" s="1"/>
  <c r="K43" i="31" s="1"/>
  <c r="F17" i="24" l="1"/>
  <c r="F20" i="24" s="1"/>
  <c r="I44" i="31"/>
  <c r="K44" i="31" s="1"/>
  <c r="K45" i="31" s="1"/>
  <c r="C41" i="33"/>
  <c r="C45" i="33"/>
  <c r="C26" i="33"/>
  <c r="C31" i="33"/>
  <c r="C32" i="33"/>
  <c r="C39" i="33"/>
  <c r="C36" i="33"/>
  <c r="C37" i="33"/>
  <c r="C38" i="33"/>
  <c r="C27" i="33"/>
  <c r="C28" i="33"/>
  <c r="C40" i="33"/>
  <c r="C43" i="33"/>
  <c r="C44" i="33"/>
  <c r="C34" i="33"/>
  <c r="C35" i="33"/>
  <c r="C29" i="33"/>
  <c r="C30" i="33"/>
  <c r="C42" i="33"/>
  <c r="C33" i="33"/>
  <c r="H14" i="3"/>
  <c r="H16" i="3" s="1"/>
  <c r="D16" i="23"/>
  <c r="D15" i="23"/>
  <c r="D14" i="23"/>
  <c r="D13" i="23"/>
  <c r="D12" i="23"/>
  <c r="C11" i="20"/>
  <c r="C12" i="20"/>
  <c r="C13" i="20"/>
  <c r="C14" i="20"/>
  <c r="C15" i="20"/>
  <c r="C16" i="20"/>
  <c r="C17" i="20"/>
  <c r="C18" i="20"/>
  <c r="C10" i="20"/>
  <c r="E33" i="20" s="1"/>
  <c r="B11" i="23"/>
  <c r="D11" i="23" s="1"/>
  <c r="C27" i="3" l="1"/>
  <c r="C15" i="3"/>
  <c r="C26" i="3"/>
  <c r="C14" i="3"/>
  <c r="C8" i="3"/>
  <c r="C18" i="3"/>
  <c r="C16" i="3"/>
  <c r="C25" i="3"/>
  <c r="C13" i="3"/>
  <c r="C10" i="3"/>
  <c r="C9" i="3"/>
  <c r="C20" i="3"/>
  <c r="C24" i="3"/>
  <c r="C12" i="3"/>
  <c r="C11" i="3"/>
  <c r="C21" i="3"/>
  <c r="C19" i="3"/>
  <c r="C17" i="3"/>
  <c r="C23" i="3"/>
  <c r="C22" i="3"/>
  <c r="B24" i="24"/>
  <c r="B12" i="24"/>
  <c r="B23" i="24"/>
  <c r="B11" i="24"/>
  <c r="B17" i="24"/>
  <c r="B25" i="24"/>
  <c r="B22" i="24"/>
  <c r="B10" i="24"/>
  <c r="B9" i="24"/>
  <c r="B27" i="24"/>
  <c r="B26" i="24"/>
  <c r="B14" i="24"/>
  <c r="B21" i="24"/>
  <c r="B20" i="24"/>
  <c r="B8" i="24"/>
  <c r="B18" i="24"/>
  <c r="B19" i="24"/>
  <c r="B13" i="24"/>
  <c r="F10" i="25"/>
  <c r="B16" i="24"/>
  <c r="B15" i="24"/>
  <c r="E41" i="20"/>
  <c r="E52" i="20"/>
  <c r="E40" i="20"/>
  <c r="E51" i="20"/>
  <c r="E39" i="20"/>
  <c r="E50" i="20"/>
  <c r="E38" i="20"/>
  <c r="E49" i="20"/>
  <c r="E37" i="20"/>
  <c r="E48" i="20"/>
  <c r="E36" i="20"/>
  <c r="E47" i="20"/>
  <c r="E35" i="20"/>
  <c r="E46" i="20"/>
  <c r="E34" i="20"/>
  <c r="E45" i="20"/>
  <c r="E44" i="20"/>
  <c r="E43" i="20"/>
  <c r="E42" i="20"/>
  <c r="C35" i="31"/>
  <c r="C23" i="31"/>
  <c r="C34" i="31"/>
  <c r="C22" i="31"/>
  <c r="D22" i="31" s="1"/>
  <c r="C29" i="31"/>
  <c r="C39" i="31"/>
  <c r="C37" i="31"/>
  <c r="C24" i="31"/>
  <c r="C33" i="31"/>
  <c r="C31" i="31"/>
  <c r="C30" i="31"/>
  <c r="C41" i="31"/>
  <c r="C40" i="31"/>
  <c r="C27" i="31"/>
  <c r="C38" i="31"/>
  <c r="C32" i="31"/>
  <c r="C36" i="31"/>
  <c r="C28" i="31"/>
  <c r="C25" i="31"/>
  <c r="C26" i="31"/>
  <c r="A10" i="1"/>
  <c r="B27" i="25" l="1"/>
  <c r="B15" i="25"/>
  <c r="B26" i="25"/>
  <c r="B20" i="25"/>
  <c r="B8" i="25"/>
  <c r="B14" i="25"/>
  <c r="B25" i="25"/>
  <c r="B13" i="25"/>
  <c r="B9" i="25"/>
  <c r="B24" i="25"/>
  <c r="B12" i="25"/>
  <c r="B23" i="25"/>
  <c r="B11" i="25"/>
  <c r="B21" i="25"/>
  <c r="B16" i="25"/>
  <c r="B22" i="25"/>
  <c r="B10" i="25"/>
  <c r="B19" i="25"/>
  <c r="B18" i="25"/>
  <c r="B17" i="25"/>
  <c r="D17" i="23"/>
  <c r="A11" i="22"/>
  <c r="A10" i="22"/>
  <c r="B18" i="20"/>
  <c r="B15" i="20"/>
  <c r="B12" i="20"/>
  <c r="C33" i="20" s="1"/>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C48" i="20" l="1"/>
  <c r="C36" i="20"/>
  <c r="C47" i="20"/>
  <c r="C35" i="20"/>
  <c r="C46" i="20"/>
  <c r="C45" i="20"/>
  <c r="C44" i="20"/>
  <c r="C43" i="20"/>
  <c r="C42" i="20"/>
  <c r="C41" i="20"/>
  <c r="C52" i="20"/>
  <c r="C40" i="20"/>
  <c r="C51" i="20"/>
  <c r="C39" i="20"/>
  <c r="C50" i="20"/>
  <c r="C38" i="20"/>
  <c r="C49" i="20"/>
  <c r="C37" i="20"/>
  <c r="H36" i="11"/>
  <c r="B9" i="22"/>
  <c r="C9" i="22"/>
  <c r="C8" i="22"/>
  <c r="B8" i="22"/>
  <c r="B9" i="33"/>
  <c r="B8" i="33"/>
  <c r="B25" i="22" l="1"/>
  <c r="B34" i="22"/>
  <c r="J25" i="11" s="1"/>
  <c r="B20" i="22"/>
  <c r="B21" i="22"/>
  <c r="B33" i="22"/>
  <c r="B19" i="22"/>
  <c r="B27" i="22"/>
  <c r="J18" i="11" s="1"/>
  <c r="B32" i="22"/>
  <c r="J23" i="11" s="1"/>
  <c r="B18" i="22"/>
  <c r="B30" i="22"/>
  <c r="J21" i="11" s="1"/>
  <c r="B31" i="22"/>
  <c r="J22" i="11" s="1"/>
  <c r="B22" i="22"/>
  <c r="J13" i="11" s="1"/>
  <c r="B28" i="22"/>
  <c r="J19" i="11" s="1"/>
  <c r="B24" i="22"/>
  <c r="J15" i="11" s="1"/>
  <c r="B29" i="22"/>
  <c r="B23" i="22"/>
  <c r="B26" i="22"/>
  <c r="B17" i="22"/>
  <c r="J8" i="11" s="1"/>
  <c r="B16" i="22"/>
  <c r="J7" i="11" s="1"/>
  <c r="J6" i="11"/>
  <c r="J24" i="11"/>
  <c r="J12" i="11"/>
  <c r="J16" i="11"/>
  <c r="J10" i="11"/>
  <c r="B7" i="3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23" i="31"/>
  <c r="C7" i="11" s="1"/>
  <c r="D24" i="31"/>
  <c r="C8" i="11" s="1"/>
  <c r="D25" i="31"/>
  <c r="C9" i="11" s="1"/>
  <c r="D26" i="31"/>
  <c r="C10" i="11" s="1"/>
  <c r="D27" i="31"/>
  <c r="C11" i="11" s="1"/>
  <c r="D28" i="31"/>
  <c r="C12" i="11" s="1"/>
  <c r="D29" i="31"/>
  <c r="C13" i="11" s="1"/>
  <c r="D30" i="31"/>
  <c r="C14" i="11" s="1"/>
  <c r="D31" i="31"/>
  <c r="C15" i="11" s="1"/>
  <c r="D32" i="31"/>
  <c r="C16" i="11" s="1"/>
  <c r="D33" i="31"/>
  <c r="C17" i="11" s="1"/>
  <c r="D34" i="31"/>
  <c r="C18" i="11" s="1"/>
  <c r="D35" i="31"/>
  <c r="C19" i="11" s="1"/>
  <c r="D36" i="31"/>
  <c r="C20" i="11" s="1"/>
  <c r="D37" i="31"/>
  <c r="C21" i="11" s="1"/>
  <c r="D38" i="31"/>
  <c r="C22" i="11" s="1"/>
  <c r="D39" i="31"/>
  <c r="C23" i="11" s="1"/>
  <c r="D40" i="31"/>
  <c r="C24" i="11" s="1"/>
  <c r="D41" i="31"/>
  <c r="C25" i="11" s="1"/>
  <c r="D42" i="31"/>
  <c r="C26" i="11" s="1"/>
  <c r="D43" i="31"/>
  <c r="C27" i="11" s="1"/>
  <c r="D44" i="31"/>
  <c r="C28" i="11" s="1"/>
  <c r="D45" i="31"/>
  <c r="C29" i="11" s="1"/>
  <c r="D46" i="31"/>
  <c r="C30" i="11" s="1"/>
  <c r="D47" i="31"/>
  <c r="C31" i="11" s="1"/>
  <c r="D48" i="31"/>
  <c r="C32" i="11" s="1"/>
  <c r="D49" i="31"/>
  <c r="C33" i="11" s="1"/>
  <c r="D50" i="31"/>
  <c r="C34" i="11" s="1"/>
  <c r="D51" i="31"/>
  <c r="C35" i="11" s="1"/>
  <c r="C6" i="11"/>
  <c r="A9" i="2"/>
  <c r="C9" i="2" s="1"/>
  <c r="B41" i="11"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L22" i="11"/>
  <c r="M22" i="11"/>
  <c r="N22" i="11"/>
  <c r="O22" i="11"/>
  <c r="I23" i="11"/>
  <c r="L23" i="11"/>
  <c r="M23" i="11"/>
  <c r="N23" i="11"/>
  <c r="O23" i="11"/>
  <c r="I24" i="11"/>
  <c r="L24" i="11"/>
  <c r="M24" i="11"/>
  <c r="N24" i="11"/>
  <c r="O24" i="11"/>
  <c r="I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L7" i="11"/>
  <c r="M7" i="11"/>
  <c r="N7" i="11"/>
  <c r="O7" i="11"/>
  <c r="I8" i="11"/>
  <c r="L8" i="11"/>
  <c r="M8" i="11"/>
  <c r="N8" i="11"/>
  <c r="O8" i="11"/>
  <c r="I9" i="11"/>
  <c r="J9" i="11"/>
  <c r="L9" i="11"/>
  <c r="M9" i="11"/>
  <c r="N9" i="11"/>
  <c r="O9" i="11"/>
  <c r="I10" i="11"/>
  <c r="L10" i="11"/>
  <c r="M10" i="11"/>
  <c r="N10" i="11"/>
  <c r="O10" i="11"/>
  <c r="I11" i="11"/>
  <c r="J11" i="11"/>
  <c r="L11" i="11"/>
  <c r="M11" i="11"/>
  <c r="N11" i="11"/>
  <c r="O11" i="11"/>
  <c r="I12" i="11"/>
  <c r="L12" i="11"/>
  <c r="M12" i="11"/>
  <c r="N12" i="11"/>
  <c r="O12" i="11"/>
  <c r="I13" i="11"/>
  <c r="L13" i="11"/>
  <c r="M13" i="11"/>
  <c r="N13" i="11"/>
  <c r="O13" i="11"/>
  <c r="I14" i="11"/>
  <c r="J14" i="11"/>
  <c r="L14" i="11"/>
  <c r="M14" i="11"/>
  <c r="N14" i="11"/>
  <c r="O14" i="11"/>
  <c r="I15" i="11"/>
  <c r="L15" i="11"/>
  <c r="M15" i="11"/>
  <c r="N15" i="11"/>
  <c r="O15" i="11"/>
  <c r="I16" i="11"/>
  <c r="L16" i="11"/>
  <c r="M16" i="11"/>
  <c r="N16" i="11"/>
  <c r="O16" i="11"/>
  <c r="I17" i="11"/>
  <c r="J17" i="11"/>
  <c r="L17" i="11"/>
  <c r="M17" i="11"/>
  <c r="N17" i="11"/>
  <c r="O17" i="11"/>
  <c r="I18" i="11"/>
  <c r="L18" i="11"/>
  <c r="M18" i="11"/>
  <c r="N18" i="11"/>
  <c r="O18" i="11"/>
  <c r="I19" i="11"/>
  <c r="L19" i="11"/>
  <c r="M19" i="11"/>
  <c r="N19" i="11"/>
  <c r="O19" i="11"/>
  <c r="I20" i="11"/>
  <c r="J20" i="11"/>
  <c r="L20" i="11"/>
  <c r="M20" i="11"/>
  <c r="N20" i="11"/>
  <c r="O20" i="11"/>
  <c r="I21" i="11"/>
  <c r="L21" i="11"/>
  <c r="M21" i="11"/>
  <c r="N21" i="11"/>
  <c r="O21" i="11"/>
  <c r="O5" i="11"/>
  <c r="O6" i="11"/>
  <c r="N5" i="11"/>
  <c r="N6" i="11"/>
  <c r="M5" i="11"/>
  <c r="M6" i="11"/>
  <c r="L5" i="11"/>
  <c r="L6" i="11"/>
  <c r="I6" i="11"/>
  <c r="I36" i="11" l="1"/>
  <c r="L36" i="11"/>
  <c r="M36" i="11"/>
  <c r="N36" i="11"/>
  <c r="O36" i="11"/>
  <c r="J36" i="11"/>
  <c r="E36" i="11"/>
  <c r="D36" i="11"/>
  <c r="C36" i="11"/>
  <c r="B36" i="11"/>
  <c r="A20" i="32"/>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23" i="23"/>
  <c r="B23" i="23" s="1"/>
  <c r="A6" i="11"/>
  <c r="L37" i="11" s="1"/>
  <c r="A22" i="3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15" i="22"/>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8" i="25"/>
  <c r="A33" i="20"/>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J37" i="11"/>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R33" i="20"/>
  <c r="T33" i="20" s="1"/>
  <c r="A41" i="11"/>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10" i="2"/>
  <c r="C10" i="2" s="1"/>
  <c r="B42" i="11" s="1"/>
  <c r="E37" i="11" l="1"/>
  <c r="O37" i="11"/>
  <c r="I37" i="11"/>
  <c r="N37" i="1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24" i="23"/>
  <c r="B24" i="23" s="1"/>
  <c r="M37" i="11"/>
  <c r="D37" i="11"/>
  <c r="C37" i="11"/>
  <c r="H37" i="11"/>
  <c r="A42" i="11"/>
  <c r="A43" i="11" s="1"/>
  <c r="A44" i="11" s="1"/>
  <c r="A45" i="11" s="1"/>
  <c r="A46" i="11" s="1"/>
  <c r="A47" i="11" s="1"/>
  <c r="A48" i="11" s="1"/>
  <c r="A49" i="11" s="1"/>
  <c r="A50" i="11" s="1"/>
  <c r="A51" i="11" s="1"/>
  <c r="A52" i="11" s="1"/>
  <c r="A53" i="11" s="1"/>
  <c r="C41" i="11"/>
  <c r="G6" i="11"/>
  <c r="Q33" i="20"/>
  <c r="O33" i="20"/>
  <c r="P33" i="20"/>
  <c r="O35" i="20"/>
  <c r="A11" i="2"/>
  <c r="C11" i="2" s="1"/>
  <c r="B43" i="11" s="1"/>
  <c r="S33" i="20" l="1"/>
  <c r="F6" i="11" s="1"/>
  <c r="A25" i="23"/>
  <c r="B25" i="23" s="1"/>
  <c r="C43" i="11"/>
  <c r="C42" i="11"/>
  <c r="K7" i="11"/>
  <c r="K6" i="11"/>
  <c r="A12" i="2"/>
  <c r="A13" i="2" s="1"/>
  <c r="Q34" i="20"/>
  <c r="R35" i="20"/>
  <c r="Q35" i="20"/>
  <c r="O34" i="20"/>
  <c r="R34" i="20"/>
  <c r="P34" i="20"/>
  <c r="P35" i="20"/>
  <c r="Q36" i="20"/>
  <c r="A54" i="11"/>
  <c r="A26" i="23" l="1"/>
  <c r="B26" i="23" s="1"/>
  <c r="C12" i="2"/>
  <c r="B44" i="11" s="1"/>
  <c r="C44" i="11" s="1"/>
  <c r="P6" i="11"/>
  <c r="S35" i="20"/>
  <c r="F8" i="11" s="1"/>
  <c r="T34" i="20"/>
  <c r="G7" i="11" s="1"/>
  <c r="S34" i="20"/>
  <c r="F7" i="11" s="1"/>
  <c r="T35" i="20"/>
  <c r="G8" i="11" s="1"/>
  <c r="P36" i="20"/>
  <c r="O37" i="20"/>
  <c r="O36" i="20"/>
  <c r="R36" i="20"/>
  <c r="A55" i="11"/>
  <c r="A14" i="2"/>
  <c r="C13" i="2"/>
  <c r="B45" i="11" s="1"/>
  <c r="C45" i="11" s="1"/>
  <c r="A27" i="23" l="1"/>
  <c r="B27" i="23" s="1"/>
  <c r="Q6" i="11"/>
  <c r="A28" i="23"/>
  <c r="B28" i="23" s="1"/>
  <c r="K8" i="11"/>
  <c r="K9" i="11"/>
  <c r="S36" i="20"/>
  <c r="F9" i="11" s="1"/>
  <c r="P7" i="11"/>
  <c r="Q7" i="11" s="1"/>
  <c r="T36" i="20"/>
  <c r="G9" i="11" s="1"/>
  <c r="O38" i="20"/>
  <c r="Q37" i="20"/>
  <c r="R37" i="20"/>
  <c r="P37" i="20"/>
  <c r="A15" i="2"/>
  <c r="C14" i="2"/>
  <c r="B46" i="11" s="1"/>
  <c r="C46" i="11" s="1"/>
  <c r="P8" i="11" l="1"/>
  <c r="A29" i="23"/>
  <c r="B29" i="23" s="1"/>
  <c r="K10" i="11"/>
  <c r="S37" i="20"/>
  <c r="F10" i="11" s="1"/>
  <c r="P39" i="20"/>
  <c r="T37" i="20"/>
  <c r="G10" i="11" s="1"/>
  <c r="P9" i="11"/>
  <c r="Q9" i="11" s="1"/>
  <c r="P38" i="20"/>
  <c r="Q38" i="20"/>
  <c r="R38" i="20"/>
  <c r="A16" i="2"/>
  <c r="C15" i="2"/>
  <c r="B47" i="11" s="1"/>
  <c r="C47" i="11" s="1"/>
  <c r="Q8" i="11" l="1"/>
  <c r="A30" i="23"/>
  <c r="B30" i="23" s="1"/>
  <c r="R40" i="20"/>
  <c r="O39" i="20"/>
  <c r="S38" i="20"/>
  <c r="F11" i="11" s="1"/>
  <c r="R39" i="20"/>
  <c r="T39" i="20" s="1"/>
  <c r="G12" i="11" s="1"/>
  <c r="Q39" i="20"/>
  <c r="T38" i="20"/>
  <c r="G11" i="11" s="1"/>
  <c r="P10" i="11"/>
  <c r="Q10" i="11" s="1"/>
  <c r="Q40" i="20"/>
  <c r="A17" i="2"/>
  <c r="C16" i="2"/>
  <c r="B48" i="11" s="1"/>
  <c r="C48" i="11" s="1"/>
  <c r="A31" i="23" l="1"/>
  <c r="B31" i="23" s="1"/>
  <c r="K11" i="11"/>
  <c r="P11" i="11" s="1"/>
  <c r="Q11" i="11" s="1"/>
  <c r="K12" i="11"/>
  <c r="P40" i="20"/>
  <c r="O40" i="20"/>
  <c r="S39" i="20"/>
  <c r="F12" i="11" s="1"/>
  <c r="T40" i="20"/>
  <c r="G13" i="11" s="1"/>
  <c r="O41" i="20"/>
  <c r="P41" i="20"/>
  <c r="R41" i="20"/>
  <c r="Q41" i="20"/>
  <c r="A18" i="2"/>
  <c r="C17" i="2"/>
  <c r="B49" i="11" s="1"/>
  <c r="C49" i="11" s="1"/>
  <c r="A32" i="23" l="1"/>
  <c r="B32" i="23" s="1"/>
  <c r="P12" i="11"/>
  <c r="Q12" i="11" s="1"/>
  <c r="K13" i="11"/>
  <c r="S40" i="20"/>
  <c r="F13" i="11" s="1"/>
  <c r="T41" i="20"/>
  <c r="G14" i="11" s="1"/>
  <c r="S41" i="20"/>
  <c r="F14" i="11" s="1"/>
  <c r="O42" i="20"/>
  <c r="P42" i="20"/>
  <c r="Q42" i="20"/>
  <c r="R42" i="20"/>
  <c r="A19" i="2"/>
  <c r="C18" i="2"/>
  <c r="B50" i="11" s="1"/>
  <c r="C50" i="11" s="1"/>
  <c r="A33" i="23" l="1"/>
  <c r="B33" i="23" s="1"/>
  <c r="K14" i="11"/>
  <c r="P14" i="11" s="1"/>
  <c r="Q14" i="11" s="1"/>
  <c r="P13" i="11"/>
  <c r="Q13" i="11" s="1"/>
  <c r="S42" i="20"/>
  <c r="F15" i="11" s="1"/>
  <c r="T42" i="20"/>
  <c r="G15" i="11" s="1"/>
  <c r="O43" i="20"/>
  <c r="P43" i="20"/>
  <c r="Q43" i="20"/>
  <c r="R43" i="20"/>
  <c r="A20" i="2"/>
  <c r="C19" i="2"/>
  <c r="B51" i="11" s="1"/>
  <c r="C51" i="11" s="1"/>
  <c r="A34" i="23" l="1"/>
  <c r="B34" i="23" s="1"/>
  <c r="K15" i="11"/>
  <c r="P15" i="11" s="1"/>
  <c r="Q15" i="11" s="1"/>
  <c r="T43" i="20"/>
  <c r="G16" i="11" s="1"/>
  <c r="S43" i="20"/>
  <c r="F16" i="11" s="1"/>
  <c r="O44" i="20"/>
  <c r="P44" i="20"/>
  <c r="Q44" i="20"/>
  <c r="R44" i="20"/>
  <c r="A21" i="2"/>
  <c r="C20" i="2"/>
  <c r="B52" i="11" s="1"/>
  <c r="C52" i="11" s="1"/>
  <c r="A35" i="23" l="1"/>
  <c r="B35" i="23" s="1"/>
  <c r="K16" i="11"/>
  <c r="P16" i="11" s="1"/>
  <c r="Q16" i="11" s="1"/>
  <c r="S44" i="20"/>
  <c r="F17" i="11" s="1"/>
  <c r="T44" i="20"/>
  <c r="G17" i="11" s="1"/>
  <c r="O45" i="20"/>
  <c r="P45" i="20"/>
  <c r="R45" i="20"/>
  <c r="Q45" i="20"/>
  <c r="A22" i="2"/>
  <c r="C21" i="2"/>
  <c r="B53" i="11" s="1"/>
  <c r="C53" i="11" s="1"/>
  <c r="A36" i="23" l="1"/>
  <c r="B36" i="23" s="1"/>
  <c r="K17" i="11"/>
  <c r="P17" i="11" s="1"/>
  <c r="Q17" i="11" s="1"/>
  <c r="S45" i="20"/>
  <c r="F18" i="11" s="1"/>
  <c r="T45" i="20"/>
  <c r="G18" i="11" s="1"/>
  <c r="O46" i="20"/>
  <c r="P46" i="20"/>
  <c r="Q46" i="20"/>
  <c r="R46" i="20"/>
  <c r="A23" i="2"/>
  <c r="C23" i="2" s="1"/>
  <c r="B55" i="11" s="1"/>
  <c r="C22" i="2"/>
  <c r="B54" i="11" s="1"/>
  <c r="C54" i="11" s="1"/>
  <c r="C55" i="11" l="1"/>
  <c r="C56" i="11" s="1"/>
  <c r="B56" i="11"/>
  <c r="A37" i="23"/>
  <c r="B37" i="23" s="1"/>
  <c r="K18" i="11"/>
  <c r="P18" i="11" s="1"/>
  <c r="Q18" i="11" s="1"/>
  <c r="S46" i="20"/>
  <c r="F19" i="11" s="1"/>
  <c r="T46" i="20"/>
  <c r="G19" i="11" s="1"/>
  <c r="O47" i="20"/>
  <c r="P47" i="20"/>
  <c r="Q47" i="20"/>
  <c r="R47" i="20"/>
  <c r="A38" i="23" l="1"/>
  <c r="B38" i="23" s="1"/>
  <c r="K19" i="11"/>
  <c r="P19" i="11" s="1"/>
  <c r="Q19" i="11" s="1"/>
  <c r="S47" i="20"/>
  <c r="F20" i="11" s="1"/>
  <c r="T47" i="20"/>
  <c r="G20" i="11" s="1"/>
  <c r="O48" i="20"/>
  <c r="P48" i="20"/>
  <c r="Q48" i="20"/>
  <c r="R48" i="20"/>
  <c r="A39" i="23" l="1"/>
  <c r="B39" i="23" s="1"/>
  <c r="K20" i="11"/>
  <c r="P20" i="11" s="1"/>
  <c r="Q20" i="11" s="1"/>
  <c r="T48" i="20"/>
  <c r="G21" i="11" s="1"/>
  <c r="S48" i="20"/>
  <c r="F21" i="11" s="1"/>
  <c r="O49" i="20"/>
  <c r="P49" i="20"/>
  <c r="R49" i="20"/>
  <c r="Q49" i="20"/>
  <c r="A40" i="23" l="1"/>
  <c r="B40" i="23" s="1"/>
  <c r="K21" i="11"/>
  <c r="P21" i="11" s="1"/>
  <c r="Q21" i="11" s="1"/>
  <c r="S49" i="20"/>
  <c r="F22" i="11" s="1"/>
  <c r="T49" i="20"/>
  <c r="G22" i="11" s="1"/>
  <c r="O50" i="20"/>
  <c r="P50" i="20"/>
  <c r="Q50" i="20"/>
  <c r="R50" i="20"/>
  <c r="B6" i="30"/>
  <c r="A41" i="23" l="1"/>
  <c r="B41" i="23" s="1"/>
  <c r="K22" i="11"/>
  <c r="P22" i="11" s="1"/>
  <c r="Q22" i="11" s="1"/>
  <c r="S50" i="20"/>
  <c r="F23" i="11" s="1"/>
  <c r="T50" i="20"/>
  <c r="G23" i="11" s="1"/>
  <c r="P51" i="20"/>
  <c r="O51" i="20"/>
  <c r="Q51" i="20"/>
  <c r="R51" i="20"/>
  <c r="A42" i="23" l="1"/>
  <c r="B42" i="23" s="1"/>
  <c r="K23" i="11"/>
  <c r="P23" i="11" s="1"/>
  <c r="Q23" i="11" s="1"/>
  <c r="S51" i="20"/>
  <c r="F24" i="11" s="1"/>
  <c r="T51" i="20"/>
  <c r="G24" i="11" s="1"/>
  <c r="O52" i="20"/>
  <c r="P52" i="20"/>
  <c r="Q52" i="20"/>
  <c r="R52" i="20"/>
  <c r="A43" i="23" l="1"/>
  <c r="B43" i="23" s="1"/>
  <c r="K24" i="11"/>
  <c r="P24" i="11" s="1"/>
  <c r="Q24" i="11" s="1"/>
  <c r="S52" i="20"/>
  <c r="F25" i="11" s="1"/>
  <c r="T52" i="20"/>
  <c r="G25" i="11" s="1"/>
  <c r="P53" i="20"/>
  <c r="R53" i="20"/>
  <c r="Q53" i="20"/>
  <c r="O53" i="20"/>
  <c r="A44" i="23" l="1"/>
  <c r="B44" i="23" s="1"/>
  <c r="K25" i="11"/>
  <c r="P25" i="11" s="1"/>
  <c r="Q25" i="11" s="1"/>
  <c r="T53" i="20"/>
  <c r="G26" i="11" s="1"/>
  <c r="S53" i="20"/>
  <c r="F26" i="11" s="1"/>
  <c r="O54" i="20"/>
  <c r="P54" i="20"/>
  <c r="Q54" i="20"/>
  <c r="R54" i="20"/>
  <c r="A45" i="23" l="1"/>
  <c r="B45" i="23" s="1"/>
  <c r="K26" i="11"/>
  <c r="P26" i="11" s="1"/>
  <c r="Q26" i="11" s="1"/>
  <c r="S54" i="20"/>
  <c r="F27" i="11" s="1"/>
  <c r="T54" i="20"/>
  <c r="G27" i="11" s="1"/>
  <c r="O55" i="20"/>
  <c r="P55" i="20"/>
  <c r="Q55" i="20"/>
  <c r="R55" i="20"/>
  <c r="A46" i="23" l="1"/>
  <c r="B46" i="23" s="1"/>
  <c r="K27" i="11"/>
  <c r="P27" i="11" s="1"/>
  <c r="Q27" i="11" s="1"/>
  <c r="S55" i="20"/>
  <c r="F28" i="11" s="1"/>
  <c r="T55" i="20"/>
  <c r="G28" i="11" s="1"/>
  <c r="O56" i="20"/>
  <c r="P56" i="20"/>
  <c r="Q56" i="20"/>
  <c r="R56" i="20"/>
  <c r="A47" i="23" l="1"/>
  <c r="B47" i="23" s="1"/>
  <c r="K28" i="11"/>
  <c r="P28" i="11" s="1"/>
  <c r="Q28" i="11" s="1"/>
  <c r="T56" i="20"/>
  <c r="G29" i="11" s="1"/>
  <c r="S56" i="20"/>
  <c r="F29" i="11" s="1"/>
  <c r="O57" i="20"/>
  <c r="P57" i="20"/>
  <c r="R57" i="20"/>
  <c r="Q57" i="20"/>
  <c r="A48" i="23" l="1"/>
  <c r="B48" i="23" s="1"/>
  <c r="K29" i="11"/>
  <c r="P29" i="11" s="1"/>
  <c r="Q29" i="11" s="1"/>
  <c r="S57" i="20"/>
  <c r="F30" i="11" s="1"/>
  <c r="T57" i="20"/>
  <c r="G30" i="11" s="1"/>
  <c r="O58" i="20"/>
  <c r="P58" i="20"/>
  <c r="Q58" i="20"/>
  <c r="R58" i="20"/>
  <c r="A49" i="23" l="1"/>
  <c r="B49" i="23" s="1"/>
  <c r="K30" i="11"/>
  <c r="P30" i="11" s="1"/>
  <c r="Q30" i="11" s="1"/>
  <c r="S58" i="20"/>
  <c r="F31" i="11" s="1"/>
  <c r="T58" i="20"/>
  <c r="G31" i="11" s="1"/>
  <c r="O59" i="20"/>
  <c r="P59" i="20"/>
  <c r="Q59" i="20"/>
  <c r="R59" i="20"/>
  <c r="A50" i="23" l="1"/>
  <c r="B50" i="23" s="1"/>
  <c r="K31" i="11"/>
  <c r="P31" i="11" s="1"/>
  <c r="Q31" i="11" s="1"/>
  <c r="S59" i="20"/>
  <c r="F32" i="11" s="1"/>
  <c r="T59" i="20"/>
  <c r="G32" i="11" s="1"/>
  <c r="O60" i="20"/>
  <c r="P60" i="20"/>
  <c r="Q60" i="20"/>
  <c r="R60" i="20"/>
  <c r="A51" i="23" l="1"/>
  <c r="B51" i="23" s="1"/>
  <c r="K32" i="11"/>
  <c r="P32" i="11" s="1"/>
  <c r="Q32" i="11" s="1"/>
  <c r="S60" i="20"/>
  <c r="F33" i="11" s="1"/>
  <c r="T60" i="20"/>
  <c r="G33" i="11" s="1"/>
  <c r="O61" i="20"/>
  <c r="P61" i="20"/>
  <c r="R61" i="20"/>
  <c r="Q61" i="20"/>
  <c r="A52" i="23" l="1"/>
  <c r="B52" i="23" s="1"/>
  <c r="K33" i="11"/>
  <c r="P33" i="11" s="1"/>
  <c r="Q33" i="11" s="1"/>
  <c r="S61" i="20"/>
  <c r="F34" i="11" s="1"/>
  <c r="T61" i="20"/>
  <c r="G34" i="11" s="1"/>
  <c r="O62" i="20"/>
  <c r="P62" i="20"/>
  <c r="Q62" i="20"/>
  <c r="R62" i="20"/>
  <c r="K34" i="11" l="1"/>
  <c r="P34" i="11" s="1"/>
  <c r="Q34" i="11" s="1"/>
  <c r="S62" i="20"/>
  <c r="F35" i="11" s="1"/>
  <c r="T62" i="20"/>
  <c r="G35" i="11" s="1"/>
  <c r="G37" i="11" l="1"/>
  <c r="G36" i="11"/>
  <c r="F37" i="11"/>
  <c r="F36" i="11"/>
  <c r="K35" i="11"/>
  <c r="K37" i="11" l="1"/>
  <c r="K36" i="11"/>
  <c r="P35" i="11"/>
  <c r="P37" i="11" s="1"/>
  <c r="Q35" i="11" l="1"/>
  <c r="Q37" i="11" s="1"/>
  <c r="P36" i="11"/>
  <c r="B5" i="30" l="1"/>
  <c r="B8" i="30" l="1"/>
  <c r="B7" i="30"/>
</calcChain>
</file>

<file path=xl/sharedStrings.xml><?xml version="1.0" encoding="utf-8"?>
<sst xmlns="http://schemas.openxmlformats.org/spreadsheetml/2006/main" count="767" uniqueCount="480">
  <si>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</si>
  <si>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</si>
  <si>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</si>
  <si>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</si>
  <si>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</si>
  <si>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</si>
  <si>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</si>
  <si>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</si>
  <si>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</si>
  <si>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</si>
  <si>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</si>
  <si>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</si>
  <si>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</si>
  <si>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</si>
  <si>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</si>
  <si>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</si>
  <si>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</si>
  <si>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</si>
  <si>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</si>
  <si>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</si>
  <si>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</si>
  <si>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</si>
  <si>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</si>
  <si>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</si>
  <si>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</si>
  <si>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</si>
  <si>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</si>
  <si>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</si>
  <si>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</si>
  <si>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</si>
  <si>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</si>
  <si>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</si>
  <si>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</si>
  <si>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</si>
  <si>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</si>
  <si>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</si>
  <si>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</si>
  <si>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</si>
  <si>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</si>
  <si>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</si>
  <si>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</si>
  <si>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</si>
  <si>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</si>
  <si>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</si>
  <si>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</si>
  <si>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</si>
  <si>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</si>
  <si>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</si>
  <si>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</si>
  <si>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</si>
  <si>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</si>
  <si>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</si>
  <si>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</si>
  <si>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</si>
  <si>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</si>
  <si>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</si>
  <si>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</si>
  <si>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</si>
  <si>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</si>
  <si>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</si>
  <si>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</si>
  <si>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</si>
  <si>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</si>
  <si>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</si>
  <si>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</si>
  <si>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</si>
  <si>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</si>
  <si>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</si>
  <si>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</si>
  <si>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</si>
  <si>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</si>
  <si>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</si>
  <si>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</si>
  <si>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</si>
  <si>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</si>
  <si>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</si>
  <si>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</si>
  <si>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</si>
  <si>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</si>
  <si>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</si>
  <si>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</si>
  <si>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</si>
  <si>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</si>
  <si>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</si>
  <si>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</si>
  <si>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</si>
  <si>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</si>
  <si>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</si>
  <si>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</si>
  <si>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</si>
  <si>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</si>
  <si>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</si>
  <si>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</si>
  <si>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</si>
  <si>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</si>
  <si>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</si>
  <si>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</si>
  <si>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</si>
  <si>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</si>
  <si>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</si>
  <si>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</si>
  <si>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</si>
  <si>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</si>
  <si>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</si>
  <si>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</si>
  <si>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</si>
  <si>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</si>
  <si>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</si>
  <si>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</si>
  <si>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</si>
  <si>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</si>
  <si>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</si>
  <si>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</si>
  <si>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</si>
  <si>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</si>
  <si>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</si>
  <si>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</si>
  <si>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</si>
  <si>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</si>
  <si>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</si>
  <si>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</si>
  <si>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</si>
  <si>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</si>
  <si>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</si>
  <si>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</si>
  <si>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</si>
  <si>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</si>
  <si>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</si>
  <si>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</si>
  <si>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</si>
  <si>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</si>
  <si>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</si>
  <si>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</si>
  <si>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</si>
  <si>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</si>
  <si>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</si>
  <si>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</si>
  <si>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</si>
  <si>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</si>
  <si>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</si>
  <si>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</si>
  <si>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</si>
  <si>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</si>
  <si>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</si>
  <si>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</si>
  <si>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</si>
  <si>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</si>
  <si>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</si>
  <si>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</si>
  <si>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</si>
  <si>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</si>
  <si>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</si>
  <si>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</si>
  <si>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</si>
  <si>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</si>
  <si>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</si>
  <si>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</si>
  <si>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</si>
  <si>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</si>
  <si>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</si>
  <si>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</si>
  <si>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</si>
  <si>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</si>
  <si>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</si>
  <si>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</si>
  <si>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</si>
  <si>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</si>
  <si>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</si>
  <si>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</si>
  <si>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</si>
  <si>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</si>
  <si>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</si>
  <si>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</si>
  <si>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</si>
  <si>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</si>
  <si>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</si>
  <si>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</si>
  <si>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</si>
  <si>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</si>
  <si>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</si>
  <si>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</si>
  <si>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</si>
  <si>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</si>
  <si>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</si>
  <si>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</si>
  <si>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</si>
  <si>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</si>
  <si>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</si>
  <si>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</si>
  <si>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</si>
  <si>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</si>
  <si>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</si>
  <si>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</si>
  <si>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</si>
  <si>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</si>
  <si>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</si>
  <si>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</si>
  <si>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</si>
  <si>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</si>
  <si>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</si>
  <si>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</si>
  <si>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</si>
  <si>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</si>
  <si>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</si>
  <si>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</si>
  <si>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</si>
  <si>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</si>
  <si>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</si>
  <si>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</si>
  <si>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</si>
  <si>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</si>
  <si>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</si>
  <si>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</si>
  <si>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</si>
  <si>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</si>
  <si>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</si>
  <si>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</si>
  <si>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</si>
  <si>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</si>
  <si>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</si>
  <si>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</si>
  <si>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</si>
  <si>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</si>
  <si>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</si>
  <si>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</si>
  <si>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</si>
  <si>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</si>
  <si>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</si>
  <si>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</si>
  <si>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</si>
  <si>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</si>
  <si>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</si>
  <si>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</si>
  <si>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</si>
  <si>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</si>
  <si>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</si>
  <si>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</si>
  <si>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</si>
  <si>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</si>
  <si>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</si>
  <si>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</si>
  <si>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</si>
  <si>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</si>
  <si>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</si>
  <si>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</si>
  <si>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</si>
  <si>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</si>
  <si>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</si>
  <si>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</si>
  <si>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</si>
  <si>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</si>
  <si>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</si>
  <si>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</si>
  <si>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</si>
  <si>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</si>
  <si>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</si>
  <si>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</si>
  <si>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</si>
  <si>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</si>
  <si>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</si>
  <si>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</si>
  <si>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</si>
  <si>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</si>
  <si>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</si>
  <si>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</si>
  <si>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 xml:space="preserve">All values entered into input cells in this sheet should be entered as undiscounted 2022 dollar values. The template will automatically apply discounting to all costs and benefits for you. </t>
  </si>
  <si>
    <t>&lt;-The BCR will be estimated once capital costs are entered in the 'Capital Cost' sheet</t>
  </si>
  <si>
    <t>Table A-1a: Value of Reduced Fatalities, Injuries, and Crashes</t>
  </si>
  <si>
    <t>PDO Crash</t>
  </si>
  <si>
    <t>Table A-2: Value of Travel Time Savings</t>
  </si>
  <si>
    <t>(2022 $ per person-hour)</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</si>
  <si>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$25.10 per hour.</t>
  </si>
  <si>
    <t>3)  Note that business travel does not include commuting travel, which should be valued at the personal travel rate. Travel on high-speed rail service that would be competitive with air travel should be valued at $47.70 per hour for personal travel and $80.20 for business travel.</t>
  </si>
  <si>
    <t>Table A-3: Average Vehicle Occupancy Rates for Highway Passenger Vehicles</t>
  </si>
  <si>
    <t>Table A-4: Vehicle Operating Costs</t>
  </si>
  <si>
    <t>Recommended Value per Mile (2022 $)</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</si>
  <si>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</si>
  <si>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</si>
  <si>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</si>
  <si>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</si>
  <si>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</si>
  <si>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</si>
  <si>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</si>
  <si>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</si>
  <si>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</si>
  <si>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</si>
  <si>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</si>
  <si>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</si>
  <si>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Recommended Value per Hour (2022 $)</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</si>
  <si>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</si>
  <si>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</si>
  <si>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</si>
  <si>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</si>
  <si>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</si>
  <si>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Multiplier to Adjust to Real 2022 $</t>
  </si>
  <si>
    <r>
      <t>Recommended Value per Person-Mile Walked (2022 $)</t>
    </r>
    <r>
      <rPr>
        <vertAlign val="superscript"/>
        <sz val="11"/>
        <color theme="0"/>
        <rFont val="Times New Roman"/>
        <family val="1"/>
      </rPr>
      <t>1</t>
    </r>
  </si>
  <si>
    <r>
      <t>Recommended Value per Use (2022 $)</t>
    </r>
    <r>
      <rPr>
        <vertAlign val="superscript"/>
        <sz val="11"/>
        <color theme="0"/>
        <rFont val="Times New Roman"/>
        <family val="1"/>
      </rPr>
      <t>1</t>
    </r>
  </si>
  <si>
    <r>
      <t>Recommended Value per Cycling Mile (2022 $)</t>
    </r>
    <r>
      <rPr>
        <vertAlign val="superscript"/>
        <sz val="11"/>
        <color theme="0"/>
        <rFont val="Times New Roman"/>
        <family val="1"/>
      </rPr>
      <t>1</t>
    </r>
  </si>
  <si>
    <t>Recommended Value per User Trip (2022 $)</t>
  </si>
  <si>
    <r>
      <t>Boarding Quality Benefit (Per Boarding) (2022 $)</t>
    </r>
    <r>
      <rPr>
        <vertAlign val="superscript"/>
        <sz val="11"/>
        <color theme="0"/>
        <rFont val="Calibri"/>
        <family val="2"/>
        <scheme val="minor"/>
      </rPr>
      <t>1</t>
    </r>
  </si>
  <si>
    <r>
      <t>Vehicle Ride Quality Benefit (Per Passenger Hour) (2022 $)</t>
    </r>
    <r>
      <rPr>
        <vertAlign val="superscript"/>
        <sz val="11"/>
        <color theme="0"/>
        <rFont val="Calibri"/>
        <family val="2"/>
        <scheme val="minor"/>
      </rPr>
      <t>1</t>
    </r>
  </si>
  <si>
    <r>
      <t>Recommended Value per Induced Trip (2022 $)</t>
    </r>
    <r>
      <rPr>
        <vertAlign val="superscript"/>
        <sz val="11"/>
        <color theme="0"/>
        <rFont val="Calibri"/>
        <family val="2"/>
        <scheme val="minor"/>
      </rPr>
      <t>4</t>
    </r>
  </si>
  <si>
    <r>
      <t>Recommended Value of Cost per Vehicle Mile Traveled (2022 $)</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</si>
  <si>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</si>
  <si>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</si>
  <si>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</si>
  <si>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2022 dollars using the GDP deflator.</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</si>
  <si>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</si>
  <si>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</si>
  <si>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</si>
  <si>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</si>
  <si>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</si>
  <si>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</si>
  <si>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</si>
  <si>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</si>
  <si>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</si>
  <si>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 xml:space="preserve">Unique to this sheet, applicants may either input monetized emissions in 2022 dollars OR enter the direct emission amounts in the table below, in which case they must be entered in the form of METRIC TONS. A metric ton is equal to 1.1023 short tons. </t>
  </si>
  <si>
    <t>Table 2. Residual Value</t>
  </si>
  <si>
    <t>Table 1. Useful Life</t>
  </si>
  <si>
    <t>Project Component</t>
  </si>
  <si>
    <t>[Text Describing Project Component]</t>
  </si>
  <si>
    <t>Useful Life (Years)</t>
  </si>
  <si>
    <t>Capital Cost (2022 $)</t>
  </si>
  <si>
    <t>Recommended Value per Induced Trip (2022 $)</t>
  </si>
  <si>
    <t>Monetized Value (2022 $)</t>
  </si>
  <si>
    <t>Hourly Value (2022 $)</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</si>
  <si>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</si>
  <si>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</si>
  <si>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</si>
  <si>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</si>
  <si>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</si>
  <si>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</si>
  <si>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</si>
  <si>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</si>
  <si>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</si>
  <si>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</si>
  <si>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</si>
  <si>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</si>
  <si>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</si>
  <si>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</si>
  <si>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</si>
  <si>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</si>
  <si>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</si>
  <si>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</si>
  <si>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</si>
  <si>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</si>
  <si>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</si>
  <si>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</si>
  <si>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</si>
  <si>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</si>
  <si>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</si>
  <si>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</si>
  <si>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</si>
  <si>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</si>
  <si>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</si>
  <si>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Cost in Constant Dollars (2022 $)</t>
  </si>
  <si>
    <t>Annual Inflation Rate Used to Convert Constant Dollars to Year-of-Expenditure Dollars</t>
  </si>
  <si>
    <t>Previously Incurred Costs (in 2022 $)</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</si>
  <si>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</si>
  <si>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</si>
  <si>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</si>
  <si>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</si>
  <si>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Horticulture Technician</t>
  </si>
  <si>
    <t>Asst. Park Services Supervisor</t>
  </si>
  <si>
    <t>Park Technician</t>
  </si>
  <si>
    <t>Annual Cost: additional salary + fringe benefits</t>
  </si>
  <si>
    <t>Park Ranger</t>
  </si>
  <si>
    <t>2 Grounds Maintenance</t>
  </si>
  <si>
    <t>6 Workers</t>
  </si>
  <si>
    <t>R</t>
  </si>
  <si>
    <t>C</t>
  </si>
  <si>
    <t>L</t>
  </si>
  <si>
    <t>T</t>
  </si>
  <si>
    <t>800m</t>
  </si>
  <si>
    <t>high</t>
  </si>
  <si>
    <t>1600m</t>
  </si>
  <si>
    <t>medium</t>
  </si>
  <si>
    <t>2400m</t>
  </si>
  <si>
    <t>low</t>
  </si>
  <si>
    <t>Final Table</t>
  </si>
  <si>
    <t>Total daily existing adult cyclists</t>
  </si>
  <si>
    <t>Total daily existing child cyclists</t>
  </si>
  <si>
    <t>Total daily existing bicycle commuters</t>
  </si>
  <si>
    <t>Low Estimate</t>
  </si>
  <si>
    <t>Mid Estimate</t>
  </si>
  <si>
    <t>High Estimate</t>
  </si>
  <si>
    <t>T-high</t>
  </si>
  <si>
    <t>T-medium</t>
  </si>
  <si>
    <t>T-low</t>
  </si>
  <si>
    <t>Existing Commuters</t>
  </si>
  <si>
    <t>New Commuters</t>
  </si>
  <si>
    <t>Total Existing Cyclists</t>
  </si>
  <si>
    <t>Total New Cyclists</t>
  </si>
  <si>
    <t>New adult cyclists</t>
  </si>
  <si>
    <t>New child cyclists</t>
  </si>
  <si>
    <t>New commuters</t>
  </si>
  <si>
    <t>Demand Estimate Functions Source: NCHRP, Report 552, Guidelines for Analysis of Investments in Bicycle Facilities.</t>
  </si>
  <si>
    <t>Injury Level</t>
  </si>
  <si>
    <t>No Injury</t>
  </si>
  <si>
    <t>Possible</t>
  </si>
  <si>
    <t>Minor</t>
  </si>
  <si>
    <t>Serious</t>
  </si>
  <si>
    <t>Fatal</t>
  </si>
  <si>
    <t>Bicycle</t>
  </si>
  <si>
    <t>Pedestrian</t>
  </si>
  <si>
    <t>Average Annual Crash Data</t>
  </si>
  <si>
    <t>Table A-1  from BCA Guidance</t>
  </si>
  <si>
    <t>Accident Severity</t>
  </si>
  <si>
    <t>Bike</t>
  </si>
  <si>
    <t>Ped</t>
  </si>
  <si>
    <t>K</t>
  </si>
  <si>
    <t>A</t>
  </si>
  <si>
    <t>Incapacitating</t>
  </si>
  <si>
    <t>B</t>
  </si>
  <si>
    <t>Non-incapacitating</t>
  </si>
  <si>
    <t>O</t>
  </si>
  <si>
    <t>100% Reduction</t>
  </si>
  <si>
    <t>Adjusted w/CFM</t>
  </si>
  <si>
    <t>CMF</t>
  </si>
  <si>
    <t>ID</t>
  </si>
  <si>
    <t>Descr.</t>
  </si>
  <si>
    <t>Total Cycling and Pedestrian Accidents 2019-2023*</t>
  </si>
  <si>
    <t>*2 mile radius for bicycle accidents and within or directly adjacent to Riverwalk area for pedestrian accidents.</t>
  </si>
  <si>
    <t xml:space="preserve">5 year avg. </t>
  </si>
  <si>
    <t>Monetized Value ($2022)</t>
  </si>
  <si>
    <t>Install bicycle boulevard</t>
  </si>
  <si>
    <t>Annual Benefits From Reduced Accidents ($2022)</t>
  </si>
  <si>
    <t>Annual Decreased Auto Benefit</t>
  </si>
  <si>
    <t>Buffer</t>
  </si>
  <si>
    <t>* using NCHRP estimate of $0.13 per mile for savings for urban areas.</t>
  </si>
  <si>
    <t>* adjust $0.13 2006 dollars to 2022 dollars using CPI inflation calculator factor of 1.42 (www.bls.gov/data/inflation_calculator.htm)</t>
  </si>
  <si>
    <t>* Toledo, OH average one way commute is 6 miles: https://www.brookings.edu/wp-content/uploads/2016/07/Srvy_JobsProximity.pdf</t>
  </si>
  <si>
    <t>* NCHRP report assumes workers commute 5 days per week for 50 weeks per year.</t>
  </si>
  <si>
    <t>New Bike Commuters (prior worksheet)</t>
  </si>
  <si>
    <t>*assume average bike commute is 1.5 miles one way.</t>
  </si>
  <si>
    <t>*assume commute 5 days per week for 50 weeks.</t>
  </si>
  <si>
    <t>New Cyclists (prior worksheet)</t>
  </si>
  <si>
    <t>Annual Miles Not Driven*</t>
  </si>
  <si>
    <t xml:space="preserve">Estimates of Bicycle Commute Share (C) for Toledo, OH are from the, "Report on 2016 American Community Survey Data by the League of American Bicyclists": https://bikeleague.org/where-we-ride-2016-analysis-of-bike-commuting/. </t>
  </si>
  <si>
    <t>*assume 5 trips per year for each new cyclist.</t>
  </si>
  <si>
    <t>Not Applicable: no expected change in traffic congestion.</t>
  </si>
  <si>
    <t>Not Applicable.</t>
  </si>
  <si>
    <t>New Recreation Cyclists</t>
  </si>
  <si>
    <t>Annual Recreation Benefits Cyclists*</t>
  </si>
  <si>
    <t>*NCHRP, Report 552, page 39, formula: Recreation Benefits = (new cyclists - new commuters) * $10 (2006 dollars) benefit per day * 365 days.</t>
  </si>
  <si>
    <t>*Over the 20 year life of the project, we are assuming zero growth in new recreation cyclists.</t>
  </si>
  <si>
    <t>International Park section under construction in years 2026 and 2027.</t>
  </si>
  <si>
    <t>Vistula section under construction in years 2026, 2027, and 2028.</t>
  </si>
  <si>
    <t>*Adjust $10 (2006 dollars) to 2022 dollars using CPI inflation calculator factor of 1.42 (www.bls.gov/data/inflation_calculator.htm).</t>
  </si>
  <si>
    <t>CYCLING RECREATION</t>
  </si>
  <si>
    <t>We assume zero residual value.</t>
  </si>
  <si>
    <t>Annual Maintenance Costs 1% of capital costs</t>
  </si>
  <si>
    <t>Total Build Operations</t>
  </si>
  <si>
    <t>New Amenities include:</t>
  </si>
  <si>
    <t>8 feet of landscaped edge along both sides of new riverwalk path.</t>
  </si>
  <si>
    <t>96 new trees planted on both sides of the new riverwalk path.</t>
  </si>
  <si>
    <t>5 benches</t>
  </si>
  <si>
    <t>4 swing benches</t>
  </si>
  <si>
    <t>18 pedistrian light poles</t>
  </si>
  <si>
    <t>7 trash/recycling receptacle stations</t>
  </si>
  <si>
    <t>River overlooks</t>
  </si>
  <si>
    <t>restrooms</t>
  </si>
  <si>
    <t>fishing access</t>
  </si>
  <si>
    <t>picnic areas</t>
  </si>
  <si>
    <t>bike fix-it stations</t>
  </si>
  <si>
    <t>new parking</t>
  </si>
  <si>
    <t>Kayak cove</t>
  </si>
  <si>
    <t>Adventure Playground</t>
  </si>
  <si>
    <t>All of these amenities likely increase the typical cycling and walking recreation benefits.</t>
  </si>
  <si>
    <t>However, to be conservative in our benefit estimations we do not include any extra amenity benefits.</t>
  </si>
  <si>
    <t>Existing + New Commuters (prior worksheet)</t>
  </si>
  <si>
    <t>Mobility Benefit</t>
  </si>
  <si>
    <t>*Adjust $4.08 (2006 dollars) to 2022 dollars using CPI inflation calculator factor of 1.42 (www.bls.gov/data/inflation_calculator.htm).</t>
  </si>
  <si>
    <t>*Over the 20 year life of the project, we are assuming zero growth in commuter cyclists.</t>
  </si>
  <si>
    <t>*NCHRP, Report 552, page 39, formula: Mobility Benefits = (existing commuters + new commuters) * $4.08 (2006 dollars) benefit per 1way trip * 50 weeks * 5 days * 2.</t>
  </si>
  <si>
    <t>BIKE MOBILITY BENEFIT</t>
  </si>
  <si>
    <t>Estimates of Population (R) are from U.S. Census data. Buffer region is around Vistula section and International Park section.</t>
  </si>
  <si>
    <t>Annual Pedestrian Recreation (prior worksheet)*</t>
  </si>
  <si>
    <t>PEDESTRIAN RECREATION</t>
  </si>
  <si>
    <t>*Assuming new walking/pedestrian recreation is equal to new cycling recreation.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</si>
</sst>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0.0%"/>
  </numFmts>
  <fonts count="40"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b/>
      <sz val="12"/>
      <color theme="1"/>
      <name val="Calibri"/>
      <family val="2"/>
      <scheme val="minor"/>
    </font>
    <font>
      <b/>
      <sz val="22"/>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u/>
      <sz val="11"/>
      <color theme="1"/>
      <name val="Calibri"/>
      <family val="2"/>
      <scheme val="minor"/>
    </font>
    <font>
      <b/>
      <sz val="11"/>
      <color theme="1"/>
      <name val="Calibri"/>
      <family val="2"/>
      <scheme val="minor"/>
    </font>
    <font>
      <u/>
      <sz val="12"/>
      <color theme="1"/>
      <name val="Calibri"/>
      <family val="2"/>
      <scheme val="minor"/>
    </font>
  </fonts>
  <fills count="18">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medium">
        <color indexed="64"/>
      </top>
      <bottom/>
      <diagonal/>
    </border>
    <border>
      <left style="thin">
        <color auto="1"/>
      </left>
      <right/>
      <top style="medium">
        <color auto="1"/>
      </top>
      <bottom style="medium">
        <color auto="1"/>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385">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0" fontId="0" fillId="3" borderId="16" xfId="0" applyFont="1" applyFill="1" applyBorder="1"/>
    <xf numFmtId="170" fontId="9" fillId="3" borderId="16" xfId="2" applyNumberFormat="1" applyFont="1" applyFill="1" applyBorder="1"/>
    <xf numFmtId="43" fontId="9" fillId="3" borderId="17" xfId="9" applyFont="1" applyFill="1" applyBorder="1"/>
    <xf numFmtId="0" fontId="0" fillId="0" borderId="4" xfId="0" applyFill="1" applyBorder="1"/>
    <xf numFmtId="0" fontId="5" fillId="0" borderId="3" xfId="0"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165" fontId="0" fillId="3" borderId="1" xfId="0" applyNumberFormat="1" applyFont="1" applyFill="1" applyBorder="1"/>
    <xf numFmtId="6" fontId="9" fillId="2" borderId="20" xfId="0" applyNumberFormat="1" applyFont="1" applyFill="1" applyBorder="1"/>
    <xf numFmtId="0" fontId="0" fillId="3" borderId="0" xfId="0"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35" fillId="0" borderId="0" xfId="0" applyFont="1"/>
    <xf numFmtId="0" fontId="0" fillId="4" borderId="7" xfId="0" applyFill="1" applyBorder="1"/>
    <xf numFmtId="167" fontId="0" fillId="15" borderId="1" xfId="0" applyNumberFormat="1" applyFill="1" applyBorder="1" applyAlignment="1">
      <alignment vertical="top" wrapText="1"/>
    </xf>
    <xf numFmtId="0" fontId="0" fillId="15" borderId="1" xfId="0" applyFill="1" applyBorder="1" applyAlignment="1">
      <alignment vertical="top" wrapText="1"/>
    </xf>
    <xf numFmtId="0" fontId="0" fillId="15" borderId="0" xfId="0" applyFill="1" applyAlignment="1">
      <alignment horizontal="left"/>
    </xf>
    <xf numFmtId="0" fontId="0" fillId="15" borderId="0" xfId="0" applyFill="1"/>
    <xf numFmtId="0" fontId="0" fillId="15" borderId="1" xfId="0" applyFill="1" applyBorder="1"/>
    <xf numFmtId="164" fontId="0" fillId="15" borderId="1" xfId="2" applyNumberFormat="1" applyFont="1" applyFill="1" applyBorder="1"/>
    <xf numFmtId="0" fontId="0" fillId="4" borderId="2" xfId="0" applyFill="1" applyBorder="1"/>
    <xf numFmtId="0" fontId="0" fillId="4" borderId="23" xfId="0" applyFill="1" applyBorder="1"/>
    <xf numFmtId="0" fontId="37" fillId="15" borderId="3" xfId="0" applyFont="1" applyFill="1" applyBorder="1"/>
    <xf numFmtId="0" fontId="37" fillId="15" borderId="0" xfId="0" applyFont="1" applyFill="1" applyBorder="1"/>
    <xf numFmtId="0" fontId="0" fillId="4" borderId="0" xfId="0" applyFill="1" applyBorder="1"/>
    <xf numFmtId="0" fontId="0" fillId="4" borderId="4" xfId="0" applyFill="1" applyBorder="1"/>
    <xf numFmtId="0" fontId="0" fillId="15" borderId="3" xfId="0" applyFill="1" applyBorder="1" applyAlignment="1">
      <alignment horizontal="left"/>
    </xf>
    <xf numFmtId="0" fontId="0" fillId="15" borderId="0" xfId="0" applyFill="1" applyBorder="1" applyAlignment="1">
      <alignment horizontal="left" vertical="top"/>
    </xf>
    <xf numFmtId="0" fontId="0" fillId="15" borderId="0" xfId="0" applyFill="1" applyBorder="1"/>
    <xf numFmtId="0" fontId="0" fillId="4" borderId="3" xfId="0" applyFill="1" applyBorder="1"/>
    <xf numFmtId="0" fontId="0" fillId="15" borderId="4" xfId="0" applyFill="1" applyBorder="1"/>
    <xf numFmtId="0" fontId="0" fillId="4" borderId="5" xfId="0" applyFill="1" applyBorder="1" applyAlignment="1">
      <alignment horizontal="left"/>
    </xf>
    <xf numFmtId="0" fontId="0" fillId="4" borderId="14" xfId="0" applyFill="1" applyBorder="1"/>
    <xf numFmtId="0" fontId="0" fillId="4" borderId="6" xfId="0" applyFill="1" applyBorder="1"/>
    <xf numFmtId="0" fontId="0" fillId="0" borderId="0" xfId="0" applyBorder="1"/>
    <xf numFmtId="0" fontId="0" fillId="0" borderId="5" xfId="0" applyBorder="1"/>
    <xf numFmtId="0" fontId="0" fillId="0" borderId="14" xfId="0" applyBorder="1"/>
    <xf numFmtId="0" fontId="0" fillId="0" borderId="6" xfId="0" applyBorder="1"/>
    <xf numFmtId="0" fontId="9" fillId="15" borderId="9" xfId="0" applyFont="1" applyFill="1" applyBorder="1"/>
    <xf numFmtId="0" fontId="0" fillId="15" borderId="9" xfId="0" applyFill="1" applyBorder="1"/>
    <xf numFmtId="0" fontId="35" fillId="15" borderId="3" xfId="0" applyFont="1" applyFill="1" applyBorder="1"/>
    <xf numFmtId="0" fontId="35" fillId="15" borderId="0" xfId="0" applyFont="1" applyFill="1" applyBorder="1"/>
    <xf numFmtId="0" fontId="35" fillId="15" borderId="54" xfId="0" applyFont="1" applyFill="1" applyBorder="1" applyAlignment="1">
      <alignment horizontal="center"/>
    </xf>
    <xf numFmtId="0" fontId="35" fillId="15" borderId="36" xfId="0" applyFont="1" applyFill="1" applyBorder="1" applyAlignment="1">
      <alignment horizontal="center"/>
    </xf>
    <xf numFmtId="0" fontId="35" fillId="15" borderId="43" xfId="0" applyFont="1" applyFill="1" applyBorder="1"/>
    <xf numFmtId="0" fontId="35" fillId="15" borderId="55" xfId="0" applyFont="1" applyFill="1" applyBorder="1" applyAlignment="1">
      <alignment horizontal="center"/>
    </xf>
    <xf numFmtId="0" fontId="35" fillId="15" borderId="45" xfId="0" applyFont="1" applyFill="1" applyBorder="1" applyAlignment="1">
      <alignment horizontal="center"/>
    </xf>
    <xf numFmtId="0" fontId="35" fillId="15" borderId="44" xfId="0" applyFont="1" applyFill="1" applyBorder="1" applyAlignment="1">
      <alignment horizontal="center"/>
    </xf>
    <xf numFmtId="0" fontId="35" fillId="15" borderId="47" xfId="0" applyFont="1" applyFill="1" applyBorder="1" applyAlignment="1">
      <alignment horizontal="center"/>
    </xf>
    <xf numFmtId="0" fontId="35" fillId="15" borderId="52" xfId="0" applyFont="1" applyFill="1" applyBorder="1" applyAlignment="1">
      <alignment horizontal="center"/>
    </xf>
    <xf numFmtId="0" fontId="35" fillId="15" borderId="34" xfId="0" applyFont="1" applyFill="1" applyBorder="1" applyAlignment="1">
      <alignment horizontal="center"/>
    </xf>
    <xf numFmtId="0" fontId="35" fillId="15" borderId="33" xfId="0" applyFont="1" applyFill="1" applyBorder="1" applyAlignment="1">
      <alignment horizontal="center"/>
    </xf>
    <xf numFmtId="0" fontId="35" fillId="15" borderId="56" xfId="0" applyFont="1" applyFill="1" applyBorder="1" applyAlignment="1">
      <alignment horizontal="center"/>
    </xf>
    <xf numFmtId="0" fontId="0" fillId="15" borderId="3" xfId="0" applyFill="1" applyBorder="1"/>
    <xf numFmtId="0" fontId="18" fillId="15" borderId="3" xfId="0" applyFont="1" applyFill="1" applyBorder="1" applyAlignment="1">
      <alignment wrapText="1"/>
    </xf>
    <xf numFmtId="0" fontId="18" fillId="15" borderId="0" xfId="0" applyFont="1" applyFill="1" applyBorder="1" applyAlignment="1">
      <alignment wrapText="1"/>
    </xf>
    <xf numFmtId="0" fontId="0" fillId="15" borderId="0" xfId="0" applyFill="1" applyBorder="1" applyAlignment="1">
      <alignment horizontal="center" wrapText="1"/>
    </xf>
    <xf numFmtId="0" fontId="35" fillId="15" borderId="4" xfId="0" applyFont="1" applyFill="1" applyBorder="1"/>
    <xf numFmtId="0" fontId="35" fillId="15" borderId="19" xfId="0" applyFont="1" applyFill="1" applyBorder="1" applyAlignment="1">
      <alignment horizontal="center"/>
    </xf>
    <xf numFmtId="0" fontId="35" fillId="15" borderId="12" xfId="0" applyFont="1" applyFill="1" applyBorder="1" applyAlignment="1">
      <alignment horizontal="center"/>
    </xf>
    <xf numFmtId="0" fontId="35" fillId="15" borderId="22" xfId="0" applyFont="1" applyFill="1" applyBorder="1" applyAlignment="1">
      <alignment horizontal="center"/>
    </xf>
    <xf numFmtId="2" fontId="35" fillId="15" borderId="45" xfId="0" applyNumberFormat="1" applyFont="1" applyFill="1" applyBorder="1" applyAlignment="1">
      <alignment horizontal="center"/>
    </xf>
    <xf numFmtId="0" fontId="35" fillId="15" borderId="1" xfId="0" applyFont="1" applyFill="1" applyBorder="1" applyAlignment="1">
      <alignment horizontal="center"/>
    </xf>
    <xf numFmtId="2" fontId="35" fillId="15" borderId="1" xfId="0" applyNumberFormat="1" applyFont="1" applyFill="1" applyBorder="1" applyAlignment="1">
      <alignment horizontal="center"/>
    </xf>
    <xf numFmtId="0" fontId="0" fillId="15" borderId="3" xfId="0" applyFill="1" applyBorder="1" applyAlignment="1">
      <alignment horizontal="center"/>
    </xf>
    <xf numFmtId="2" fontId="0" fillId="15" borderId="0" xfId="0" applyNumberFormat="1" applyFill="1" applyBorder="1" applyAlignment="1">
      <alignment horizontal="center"/>
    </xf>
    <xf numFmtId="0" fontId="0" fillId="15" borderId="0" xfId="0" applyFill="1" applyBorder="1" applyAlignment="1">
      <alignment horizontal="center"/>
    </xf>
    <xf numFmtId="3" fontId="0" fillId="15" borderId="0" xfId="0" applyNumberFormat="1" applyFill="1" applyBorder="1" applyAlignment="1">
      <alignment horizontal="center"/>
    </xf>
    <xf numFmtId="0" fontId="35" fillId="15" borderId="64" xfId="0" applyFont="1" applyFill="1" applyBorder="1"/>
    <xf numFmtId="0" fontId="36" fillId="15" borderId="55" xfId="0" applyFont="1" applyFill="1" applyBorder="1" applyAlignment="1">
      <alignment horizontal="left"/>
    </xf>
    <xf numFmtId="0" fontId="36" fillId="15" borderId="50" xfId="0" applyFont="1" applyFill="1" applyBorder="1" applyAlignment="1">
      <alignment horizontal="left" vertical="center"/>
    </xf>
    <xf numFmtId="0" fontId="36" fillId="15" borderId="52" xfId="0" applyFont="1" applyFill="1" applyBorder="1" applyAlignment="1">
      <alignment horizontal="left"/>
    </xf>
    <xf numFmtId="0" fontId="0" fillId="16" borderId="9" xfId="0" applyFill="1" applyBorder="1"/>
    <xf numFmtId="0" fontId="0" fillId="16" borderId="0" xfId="0" applyFill="1"/>
    <xf numFmtId="0" fontId="0" fillId="15" borderId="0" xfId="0" applyFill="1" applyAlignment="1">
      <alignment horizontal="center"/>
    </xf>
    <xf numFmtId="0" fontId="0" fillId="15" borderId="33" xfId="0" applyFill="1" applyBorder="1" applyAlignment="1">
      <alignment horizontal="center"/>
    </xf>
    <xf numFmtId="0" fontId="0" fillId="15" borderId="34" xfId="0" applyFill="1" applyBorder="1" applyAlignment="1">
      <alignment horizontal="center"/>
    </xf>
    <xf numFmtId="171" fontId="0" fillId="15" borderId="21" xfId="0" applyNumberFormat="1" applyFill="1" applyBorder="1" applyAlignment="1">
      <alignment horizontal="center"/>
    </xf>
    <xf numFmtId="0" fontId="0" fillId="15" borderId="21" xfId="0" applyFill="1" applyBorder="1" applyAlignment="1">
      <alignment horizontal="center"/>
    </xf>
    <xf numFmtId="0" fontId="0" fillId="15" borderId="20" xfId="0" applyFill="1" applyBorder="1"/>
    <xf numFmtId="0" fontId="0" fillId="15" borderId="35" xfId="0" applyFill="1" applyBorder="1" applyAlignment="1">
      <alignment horizontal="center"/>
    </xf>
    <xf numFmtId="0" fontId="0" fillId="15" borderId="21" xfId="0" applyFill="1" applyBorder="1"/>
    <xf numFmtId="0" fontId="0" fillId="15" borderId="5" xfId="0" applyFill="1" applyBorder="1" applyAlignment="1">
      <alignment horizontal="center"/>
    </xf>
    <xf numFmtId="0" fontId="0" fillId="15" borderId="22" xfId="0" applyFill="1" applyBorder="1" applyAlignment="1">
      <alignment horizontal="center"/>
    </xf>
    <xf numFmtId="0" fontId="0" fillId="15" borderId="22" xfId="0" applyFill="1" applyBorder="1"/>
    <xf numFmtId="0" fontId="18" fillId="15" borderId="0" xfId="0" applyFont="1" applyFill="1"/>
    <xf numFmtId="0" fontId="18" fillId="15" borderId="41" xfId="0" applyFont="1" applyFill="1" applyBorder="1" applyAlignment="1">
      <alignment horizontal="center" wrapText="1"/>
    </xf>
    <xf numFmtId="0" fontId="18" fillId="15" borderId="42" xfId="0" applyFont="1" applyFill="1" applyBorder="1" applyAlignment="1">
      <alignment horizontal="center" wrapText="1"/>
    </xf>
    <xf numFmtId="0" fontId="18" fillId="15" borderId="43" xfId="0" applyFont="1" applyFill="1" applyBorder="1" applyAlignment="1">
      <alignment horizontal="center" wrapText="1"/>
    </xf>
    <xf numFmtId="0" fontId="0" fillId="15" borderId="44" xfId="0" applyFill="1" applyBorder="1" applyAlignment="1">
      <alignment horizontal="center"/>
    </xf>
    <xf numFmtId="0" fontId="0" fillId="15" borderId="45" xfId="0" applyFill="1" applyBorder="1" applyAlignment="1">
      <alignment horizontal="center"/>
    </xf>
    <xf numFmtId="0" fontId="18" fillId="15" borderId="47" xfId="0" applyFont="1" applyFill="1" applyBorder="1"/>
    <xf numFmtId="0" fontId="18" fillId="15" borderId="48" xfId="0" applyFont="1" applyFill="1" applyBorder="1" applyAlignment="1">
      <alignment horizontal="center"/>
    </xf>
    <xf numFmtId="0" fontId="18" fillId="15" borderId="49" xfId="0" applyFont="1" applyFill="1" applyBorder="1"/>
    <xf numFmtId="0" fontId="18" fillId="15" borderId="50" xfId="0" applyFont="1" applyFill="1" applyBorder="1" applyAlignment="1">
      <alignment horizontal="center"/>
    </xf>
    <xf numFmtId="0" fontId="18" fillId="15" borderId="1" xfId="0" applyFont="1" applyFill="1" applyBorder="1" applyAlignment="1">
      <alignment horizontal="center"/>
    </xf>
    <xf numFmtId="0" fontId="32" fillId="15" borderId="0" xfId="0" applyFont="1" applyFill="1" applyAlignment="1">
      <alignment horizontal="center" wrapText="1"/>
    </xf>
    <xf numFmtId="0" fontId="18" fillId="15" borderId="0" xfId="0" applyFont="1" applyFill="1" applyAlignment="1">
      <alignment horizontal="center"/>
    </xf>
    <xf numFmtId="0" fontId="32" fillId="16" borderId="0" xfId="0" applyFont="1" applyFill="1"/>
    <xf numFmtId="165" fontId="32" fillId="16" borderId="0" xfId="0" applyNumberFormat="1" applyFont="1" applyFill="1" applyAlignment="1">
      <alignment horizontal="center" wrapText="1"/>
    </xf>
    <xf numFmtId="0" fontId="32" fillId="16" borderId="0" xfId="0" applyFont="1" applyFill="1" applyAlignment="1">
      <alignment horizontal="center" wrapText="1"/>
    </xf>
    <xf numFmtId="0" fontId="18" fillId="17" borderId="49" xfId="0" applyFont="1" applyFill="1" applyBorder="1"/>
    <xf numFmtId="0" fontId="18" fillId="17" borderId="50" xfId="0" applyFont="1" applyFill="1" applyBorder="1" applyAlignment="1">
      <alignment horizontal="center"/>
    </xf>
    <xf numFmtId="0" fontId="0" fillId="17" borderId="0" xfId="0" applyFill="1"/>
    <xf numFmtId="0" fontId="18" fillId="17" borderId="1" xfId="0" applyFont="1" applyFill="1" applyBorder="1" applyAlignment="1">
      <alignment horizontal="center"/>
    </xf>
    <xf numFmtId="0" fontId="18" fillId="17" borderId="51" xfId="0" applyFont="1" applyFill="1" applyBorder="1"/>
    <xf numFmtId="165" fontId="0" fillId="17" borderId="0" xfId="0" applyNumberFormat="1" applyFill="1"/>
    <xf numFmtId="0" fontId="0" fillId="0" borderId="9" xfId="0" applyFill="1" applyBorder="1"/>
    <xf numFmtId="6" fontId="0" fillId="15" borderId="0" xfId="0" applyNumberFormat="1" applyFont="1" applyFill="1"/>
    <xf numFmtId="0" fontId="18" fillId="4" borderId="0" xfId="0" applyFont="1" applyFill="1"/>
    <xf numFmtId="165" fontId="0" fillId="15" borderId="0" xfId="0" applyNumberFormat="1" applyFill="1"/>
    <xf numFmtId="0" fontId="37" fillId="16" borderId="9" xfId="0" applyFont="1" applyFill="1" applyBorder="1"/>
    <xf numFmtId="6" fontId="0" fillId="16" borderId="9" xfId="0" applyNumberFormat="1" applyFill="1" applyBorder="1"/>
    <xf numFmtId="165" fontId="0" fillId="16" borderId="0" xfId="0" applyNumberFormat="1" applyFill="1"/>
    <xf numFmtId="0" fontId="38" fillId="16" borderId="0" xfId="0" applyFont="1" applyFill="1"/>
    <xf numFmtId="0" fontId="39" fillId="15" borderId="0" xfId="0" applyFont="1" applyFill="1"/>
    <xf numFmtId="0" fontId="34" fillId="15" borderId="19" xfId="0" applyFont="1" applyFill="1" applyBorder="1" applyAlignment="1"/>
    <xf numFmtId="0" fontId="22" fillId="9" borderId="1" xfId="0" applyFont="1" applyFill="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2" fillId="0" borderId="10" xfId="0" applyFont="1" applyBorder="1" applyAlignment="1">
      <alignment horizontal="left" vertical="top" wrapText="1"/>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0" fontId="33" fillId="12" borderId="60" xfId="0" applyFont="1" applyFill="1" applyBorder="1" applyAlignment="1">
      <alignment horizontal="center" wrapText="1"/>
    </xf>
    <xf numFmtId="0" fontId="33" fillId="12" borderId="61" xfId="0" applyFont="1" applyFill="1" applyBorder="1" applyAlignment="1">
      <alignment horizontal="center" wrapText="1"/>
    </xf>
    <xf numFmtId="0" fontId="33" fillId="12" borderId="62" xfId="0" applyFont="1" applyFill="1" applyBorder="1" applyAlignment="1">
      <alignment horizontal="center" wrapText="1"/>
    </xf>
    <xf numFmtId="0" fontId="34" fillId="15" borderId="3" xfId="0" applyFont="1" applyFill="1" applyBorder="1" applyAlignment="1">
      <alignment horizontal="left" vertical="top"/>
    </xf>
    <xf numFmtId="0" fontId="34" fillId="15" borderId="0" xfId="0" applyFont="1" applyFill="1" applyBorder="1" applyAlignment="1">
      <alignment horizontal="left" vertical="top"/>
    </xf>
    <xf numFmtId="0" fontId="35" fillId="15" borderId="33" xfId="0" applyFont="1" applyFill="1" applyBorder="1" applyAlignment="1">
      <alignment horizontal="center"/>
    </xf>
    <xf numFmtId="0" fontId="35" fillId="15" borderId="39" xfId="0" applyFont="1" applyFill="1" applyBorder="1" applyAlignment="1">
      <alignment horizontal="center"/>
    </xf>
    <xf numFmtId="0" fontId="35" fillId="15" borderId="40" xfId="0" applyFont="1" applyFill="1" applyBorder="1" applyAlignment="1">
      <alignment horizontal="center"/>
    </xf>
    <xf numFmtId="0" fontId="34" fillId="15" borderId="3" xfId="0" applyFont="1" applyFill="1" applyBorder="1" applyAlignment="1">
      <alignment horizontal="left" wrapText="1"/>
    </xf>
    <xf numFmtId="0" fontId="34" fillId="15" borderId="0" xfId="0" applyFont="1" applyFill="1" applyBorder="1" applyAlignment="1">
      <alignment horizontal="left" wrapText="1"/>
    </xf>
    <xf numFmtId="0" fontId="35" fillId="15" borderId="63" xfId="0" applyFont="1" applyFill="1" applyBorder="1" applyAlignment="1">
      <alignment horizontal="center" vertical="center"/>
    </xf>
    <xf numFmtId="0" fontId="35" fillId="15" borderId="18" xfId="0" applyFont="1" applyFill="1" applyBorder="1" applyAlignment="1">
      <alignment horizontal="center" vertical="center"/>
    </xf>
    <xf numFmtId="0" fontId="35" fillId="15" borderId="8" xfId="0" applyFont="1" applyFill="1" applyBorder="1" applyAlignment="1">
      <alignment horizontal="center" vertical="center"/>
    </xf>
    <xf numFmtId="0" fontId="35" fillId="15" borderId="28" xfId="0" applyFont="1" applyFill="1" applyBorder="1" applyAlignment="1">
      <alignment horizontal="center" vertical="center"/>
    </xf>
    <xf numFmtId="0" fontId="35" fillId="15" borderId="19" xfId="0" applyFont="1" applyFill="1" applyBorder="1" applyAlignment="1">
      <alignment horizontal="center" vertical="center"/>
    </xf>
    <xf numFmtId="0" fontId="35" fillId="15" borderId="12" xfId="0" applyFont="1" applyFill="1" applyBorder="1" applyAlignment="1">
      <alignment horizontal="center" vertical="center"/>
    </xf>
    <xf numFmtId="0" fontId="35" fillId="15" borderId="18" xfId="0" applyFont="1" applyFill="1" applyBorder="1" applyAlignment="1">
      <alignment horizontal="center"/>
    </xf>
    <xf numFmtId="0" fontId="35" fillId="15" borderId="8" xfId="0" applyFont="1" applyFill="1" applyBorder="1" applyAlignment="1">
      <alignment horizontal="center"/>
    </xf>
    <xf numFmtId="0" fontId="35" fillId="15" borderId="57" xfId="0" applyFont="1" applyFill="1" applyBorder="1" applyAlignment="1">
      <alignment horizontal="center" wrapText="1"/>
    </xf>
    <xf numFmtId="0" fontId="35" fillId="15" borderId="56" xfId="0" applyFont="1" applyFill="1" applyBorder="1" applyAlignment="1">
      <alignment horizontal="center" wrapText="1"/>
    </xf>
    <xf numFmtId="0" fontId="35" fillId="15" borderId="54" xfId="0" applyFont="1" applyFill="1" applyBorder="1" applyAlignment="1">
      <alignment horizontal="center"/>
    </xf>
    <xf numFmtId="0" fontId="34" fillId="15" borderId="36" xfId="0" applyFont="1" applyFill="1" applyBorder="1" applyAlignment="1">
      <alignment horizontal="center"/>
    </xf>
    <xf numFmtId="0" fontId="34" fillId="15" borderId="37" xfId="0" applyFont="1" applyFill="1" applyBorder="1" applyAlignment="1">
      <alignment horizontal="center"/>
    </xf>
    <xf numFmtId="0" fontId="34" fillId="15" borderId="38" xfId="0" applyFont="1" applyFill="1" applyBorder="1" applyAlignment="1">
      <alignment horizontal="center"/>
    </xf>
    <xf numFmtId="0" fontId="35" fillId="15" borderId="44" xfId="0" applyFont="1" applyFill="1" applyBorder="1" applyAlignment="1">
      <alignment horizontal="center"/>
    </xf>
    <xf numFmtId="0" fontId="35" fillId="15" borderId="58" xfId="0" applyFont="1" applyFill="1" applyBorder="1" applyAlignment="1">
      <alignment horizontal="center"/>
    </xf>
    <xf numFmtId="3" fontId="35" fillId="15" borderId="44" xfId="0" applyNumberFormat="1" applyFont="1" applyFill="1" applyBorder="1" applyAlignment="1">
      <alignment horizontal="center"/>
    </xf>
    <xf numFmtId="3" fontId="35" fillId="15" borderId="58" xfId="0" applyNumberFormat="1" applyFont="1" applyFill="1" applyBorder="1" applyAlignment="1">
      <alignment horizontal="center"/>
    </xf>
    <xf numFmtId="0" fontId="35" fillId="15" borderId="15" xfId="0" applyFont="1" applyFill="1" applyBorder="1" applyAlignment="1">
      <alignment horizontal="center"/>
    </xf>
    <xf numFmtId="0" fontId="35" fillId="15" borderId="17" xfId="0" applyFont="1" applyFill="1" applyBorder="1" applyAlignment="1">
      <alignment horizontal="center"/>
    </xf>
    <xf numFmtId="3" fontId="35" fillId="15" borderId="15" xfId="0" applyNumberFormat="1" applyFont="1" applyFill="1" applyBorder="1" applyAlignment="1">
      <alignment horizontal="center"/>
    </xf>
    <xf numFmtId="3" fontId="35" fillId="15" borderId="17" xfId="0" applyNumberFormat="1" applyFont="1" applyFill="1" applyBorder="1" applyAlignment="1">
      <alignment horizontal="center"/>
    </xf>
    <xf numFmtId="165" fontId="36" fillId="16" borderId="54" xfId="0" applyNumberFormat="1" applyFont="1" applyFill="1" applyBorder="1" applyAlignment="1">
      <alignment horizontal="right"/>
    </xf>
    <xf numFmtId="165" fontId="36" fillId="16" borderId="54" xfId="0" applyNumberFormat="1" applyFont="1" applyFill="1" applyBorder="1" applyAlignment="1">
      <alignment horizontal="center"/>
    </xf>
    <xf numFmtId="0" fontId="35" fillId="15" borderId="34" xfId="0" applyFont="1" applyFill="1" applyBorder="1" applyAlignment="1">
      <alignment horizontal="center"/>
    </xf>
    <xf numFmtId="0" fontId="35" fillId="15" borderId="53" xfId="0" applyFont="1" applyFill="1" applyBorder="1" applyAlignment="1">
      <alignment horizontal="center"/>
    </xf>
    <xf numFmtId="0" fontId="18" fillId="15" borderId="3" xfId="0" applyFont="1" applyFill="1" applyBorder="1" applyAlignment="1">
      <alignment horizontal="left" wrapText="1"/>
    </xf>
    <xf numFmtId="0" fontId="18" fillId="15" borderId="0" xfId="0" applyFont="1" applyFill="1" applyBorder="1" applyAlignment="1">
      <alignment horizontal="left" wrapText="1"/>
    </xf>
    <xf numFmtId="0" fontId="18" fillId="15" borderId="4" xfId="0" applyFont="1" applyFill="1" applyBorder="1" applyAlignment="1">
      <alignment horizontal="left" wrapText="1"/>
    </xf>
    <xf numFmtId="0" fontId="35" fillId="15" borderId="3" xfId="0" applyFont="1" applyFill="1" applyBorder="1" applyAlignment="1"/>
    <xf numFmtId="0" fontId="35" fillId="15" borderId="0" xfId="0" applyFont="1" applyFill="1" applyBorder="1" applyAlignment="1"/>
    <xf numFmtId="0" fontId="35" fillId="15" borderId="4" xfId="0" applyFont="1" applyFill="1" applyBorder="1" applyAlignment="1"/>
    <xf numFmtId="165" fontId="35" fillId="15" borderId="45" xfId="9" applyNumberFormat="1" applyFont="1" applyFill="1" applyBorder="1" applyAlignment="1">
      <alignment horizontal="center"/>
    </xf>
    <xf numFmtId="165" fontId="35" fillId="15" borderId="45" xfId="0" applyNumberFormat="1" applyFont="1" applyFill="1" applyBorder="1" applyAlignment="1">
      <alignment horizontal="center"/>
    </xf>
    <xf numFmtId="0" fontId="35" fillId="15" borderId="45" xfId="0" applyFont="1" applyFill="1" applyBorder="1" applyAlignment="1">
      <alignment horizontal="center"/>
    </xf>
    <xf numFmtId="0" fontId="35" fillId="15" borderId="59" xfId="0" applyFont="1" applyFill="1" applyBorder="1" applyAlignment="1">
      <alignment horizontal="center"/>
    </xf>
    <xf numFmtId="165" fontId="35" fillId="15" borderId="20" xfId="9" applyNumberFormat="1" applyFont="1" applyFill="1" applyBorder="1" applyAlignment="1">
      <alignment horizontal="center"/>
    </xf>
    <xf numFmtId="165" fontId="35" fillId="15" borderId="20" xfId="0" applyNumberFormat="1" applyFont="1" applyFill="1" applyBorder="1" applyAlignment="1">
      <alignment horizontal="center"/>
    </xf>
    <xf numFmtId="0" fontId="34" fillId="16" borderId="3" xfId="0" applyFont="1" applyFill="1" applyBorder="1" applyAlignment="1">
      <alignment horizontal="left"/>
    </xf>
    <xf numFmtId="0" fontId="34" fillId="16" borderId="0" xfId="0" applyFont="1" applyFill="1" applyBorder="1" applyAlignment="1">
      <alignment horizontal="left"/>
    </xf>
    <xf numFmtId="0" fontId="32" fillId="15" borderId="36" xfId="0" applyFont="1" applyFill="1" applyBorder="1" applyAlignment="1">
      <alignment horizontal="center"/>
    </xf>
    <xf numFmtId="0" fontId="32" fillId="15" borderId="37" xfId="0" applyFont="1" applyFill="1" applyBorder="1" applyAlignment="1">
      <alignment horizontal="center"/>
    </xf>
    <xf numFmtId="0" fontId="32" fillId="15" borderId="38" xfId="0" applyFont="1" applyFill="1" applyBorder="1" applyAlignment="1">
      <alignment horizontal="center"/>
    </xf>
    <xf numFmtId="0" fontId="0" fillId="15" borderId="33" xfId="0" applyFill="1" applyBorder="1" applyAlignment="1">
      <alignment horizontal="left"/>
    </xf>
    <xf numFmtId="0" fontId="0" fillId="15" borderId="39" xfId="0" applyFill="1" applyBorder="1" applyAlignment="1">
      <alignment horizontal="left"/>
    </xf>
    <xf numFmtId="0" fontId="0" fillId="15" borderId="40" xfId="0" applyFill="1" applyBorder="1" applyAlignment="1">
      <alignment horizontal="left"/>
    </xf>
    <xf numFmtId="0" fontId="0" fillId="15" borderId="20" xfId="0" applyFill="1" applyBorder="1" applyAlignment="1">
      <alignment horizontal="center" wrapText="1"/>
    </xf>
    <xf numFmtId="0" fontId="0" fillId="15" borderId="46" xfId="0" applyFill="1" applyBorder="1" applyAlignment="1">
      <alignment horizontal="center" wrapText="1"/>
    </xf>
    <xf numFmtId="0" fontId="0" fillId="15" borderId="33" xfId="0" applyFill="1" applyBorder="1" applyAlignment="1">
      <alignment horizontal="center"/>
    </xf>
    <xf numFmtId="0" fontId="0" fillId="15" borderId="39" xfId="0" applyFill="1" applyBorder="1" applyAlignment="1">
      <alignment horizontal="center"/>
    </xf>
    <xf numFmtId="0" fontId="0" fillId="15" borderId="40" xfId="0" applyFill="1" applyBorder="1" applyAlignment="1">
      <alignment horizontal="center"/>
    </xf>
    <xf numFmtId="0" fontId="0" fillId="15" borderId="20" xfId="0" applyFill="1" applyBorder="1" applyAlignment="1">
      <alignment horizontal="left"/>
    </xf>
    <xf numFmtId="0" fontId="0" fillId="15" borderId="46" xfId="0" applyFill="1" applyBorder="1" applyAlignment="1">
      <alignment horizontal="left"/>
    </xf>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cellStyle name="Normal" xfId="0" builtinId="0"/>
    <cellStyle name="Normal 7" xfId="6"/>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93AD73"/>
      <color rgb="FFFFFFCC"/>
      <color rgb="FFA9D08E"/>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23"/>
  <sheetViews>
    <sheetView topLeftCell="A8" zoomScale="130" zoomScaleNormal="130" workbookViewId="0">
      <selection activeCell="B22" sqref="B22"/>
    </sheetView>
  </sheetViews>
  <sheetFormatPr defaultColWidth="9.109375" defaultRowHeight="14.4" x14ac:dyDescent="0.3"/>
  <cols>
    <col min="1" max="1" width="72.88671875" style="5" customWidth="1"/>
    <col min="2" max="2" width="10.33203125" style="5" bestFit="1" customWidth="1"/>
    <col min="3" max="16384" width="9.109375" style="5"/>
  </cols>
  <sheetData>
    <row r="1" spans="1:1" ht="20.399999999999999" thickBot="1" x14ac:dyDescent="0.45">
      <c r="A1" s="45" t="s">
        <v>343</v>
      </c>
    </row>
    <row r="2" spans="1:1" ht="15" thickTop="1" x14ac:dyDescent="0.3">
      <c r="A2" s="46" t="s">
        <v>200</v>
      </c>
    </row>
    <row r="3" spans="1:1" ht="18" thickBot="1" x14ac:dyDescent="0.4">
      <c r="A3" s="48" t="s">
        <v>344</v>
      </c>
    </row>
    <row r="4" spans="1:1" ht="75.900000000000006" customHeight="1" thickTop="1" x14ac:dyDescent="0.3">
      <c r="A4" s="50" t="s">
        <v>345</v>
      </c>
    </row>
    <row r="5" spans="1:1" x14ac:dyDescent="0.3">
      <c r="A5" s="46" t="s">
        <v>201</v>
      </c>
    </row>
    <row r="6" spans="1:1" ht="18" thickBot="1" x14ac:dyDescent="0.4">
      <c r="A6" s="47" t="s">
        <v>202</v>
      </c>
    </row>
    <row r="7" spans="1:1" ht="15" thickTop="1" x14ac:dyDescent="0.3">
      <c r="A7" s="52" t="s">
        <v>346</v>
      </c>
    </row>
    <row r="8" spans="1:1" x14ac:dyDescent="0.3">
      <c r="A8" s="52" t="s">
        <v>347</v>
      </c>
    </row>
    <row r="9" spans="1:1" ht="28.8" x14ac:dyDescent="0.3">
      <c r="A9" s="51" t="s">
        <v>348</v>
      </c>
    </row>
    <row r="10" spans="1:1" x14ac:dyDescent="0.3">
      <c r="A10" s="53" t="str">
        <f>HYPERLINK("https://www.transportation.gov/mission/office-secretary/office-policy/transportation-policy/benefit-cost-analysis-guidance", "See USDOT BCA Guidance for full details.")</f>
        <v>See USDOT BCA Guidance for full details.</v>
      </c>
    </row>
    <row r="11" spans="1:1" x14ac:dyDescent="0.3">
      <c r="A11" s="46" t="s">
        <v>200</v>
      </c>
    </row>
    <row r="12" spans="1:1" ht="18" thickBot="1" x14ac:dyDescent="0.4">
      <c r="A12" s="47" t="s">
        <v>203</v>
      </c>
    </row>
    <row r="13" spans="1:1" ht="15" thickTop="1" x14ac:dyDescent="0.3">
      <c r="A13" s="54" t="s">
        <v>326</v>
      </c>
    </row>
    <row r="14" spans="1:1" ht="28.8" x14ac:dyDescent="0.3">
      <c r="A14" s="171" t="s">
        <v>349</v>
      </c>
    </row>
    <row r="15" spans="1:1" ht="28.8" x14ac:dyDescent="0.3">
      <c r="A15" s="172" t="s">
        <v>350</v>
      </c>
    </row>
    <row r="16" spans="1:1" ht="28.8" x14ac:dyDescent="0.3">
      <c r="A16" s="174" t="s">
        <v>351</v>
      </c>
    </row>
    <row r="17" spans="1:2" ht="43.2" x14ac:dyDescent="0.3">
      <c r="A17" s="49" t="s">
        <v>264</v>
      </c>
    </row>
    <row r="18" spans="1:2" x14ac:dyDescent="0.3">
      <c r="A18" s="49" t="s">
        <v>257</v>
      </c>
    </row>
    <row r="19" spans="1:2" ht="43.2" x14ac:dyDescent="0.3">
      <c r="A19" s="55" t="s">
        <v>327</v>
      </c>
    </row>
    <row r="22" spans="1:2" x14ac:dyDescent="0.3">
      <c r="A22" s="6" t="s">
        <v>160</v>
      </c>
      <c r="B22" s="179">
        <v>2022</v>
      </c>
    </row>
    <row r="23" spans="1:2" x14ac:dyDescent="0.3">
      <c r="A23" s="2" t="s">
        <v>352</v>
      </c>
      <c r="B23" s="180">
        <v>45322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V112"/>
  <sheetViews>
    <sheetView topLeftCell="A20" workbookViewId="0">
      <selection activeCell="A51" sqref="A51"/>
    </sheetView>
  </sheetViews>
  <sheetFormatPr defaultColWidth="9.109375" defaultRowHeight="14.4" x14ac:dyDescent="0.3"/>
  <cols>
    <col min="1" max="1" width="39" style="5" customWidth="1"/>
    <col min="2" max="2" width="35.44140625" style="5" customWidth="1"/>
    <col min="3" max="3" width="35.5546875" style="5" customWidth="1"/>
    <col min="4" max="4" width="30.109375" style="5" customWidth="1"/>
    <col min="5" max="5" width="32" style="5" customWidth="1"/>
    <col min="6" max="6" width="10.33203125" style="5" customWidth="1"/>
    <col min="7" max="14" width="20.5546875" style="5" customWidth="1"/>
    <col min="15" max="18" width="15.6640625" style="5" customWidth="1"/>
    <col min="19" max="19" width="28.5546875" style="5" customWidth="1"/>
    <col min="20" max="20" width="24.88671875" style="5" customWidth="1"/>
    <col min="21" max="16384" width="9.109375" style="5"/>
  </cols>
  <sheetData>
    <row r="1" spans="1:9" ht="20.399999999999999" thickBot="1" x14ac:dyDescent="0.45">
      <c r="A1" s="96" t="s">
        <v>224</v>
      </c>
      <c r="B1" s="134"/>
      <c r="C1" s="134"/>
      <c r="D1" s="134"/>
      <c r="E1" s="134"/>
      <c r="F1" s="134"/>
    </row>
    <row r="2" spans="1:9" ht="15" thickTop="1" x14ac:dyDescent="0.3">
      <c r="A2" s="154" t="s">
        <v>316</v>
      </c>
      <c r="B2" s="155"/>
      <c r="C2" s="155"/>
      <c r="D2" s="155"/>
      <c r="E2" s="155"/>
      <c r="F2" s="155"/>
      <c r="G2" s="155"/>
      <c r="H2" s="155"/>
      <c r="I2" s="155"/>
    </row>
    <row r="3" spans="1:9" x14ac:dyDescent="0.3">
      <c r="A3" s="154" t="s">
        <v>341</v>
      </c>
      <c r="B3" s="155"/>
      <c r="C3" s="155"/>
      <c r="D3" s="155"/>
    </row>
    <row r="4" spans="1:9" x14ac:dyDescent="0.3">
      <c r="A4" s="154" t="s">
        <v>342</v>
      </c>
      <c r="B4" s="155"/>
      <c r="C4" s="155"/>
    </row>
    <row r="5" spans="1:9" x14ac:dyDescent="0.3">
      <c r="A5" s="154" t="s">
        <v>332</v>
      </c>
      <c r="B5" s="155"/>
      <c r="C5" s="155"/>
      <c r="D5" s="155"/>
      <c r="E5" s="155"/>
    </row>
    <row r="6" spans="1:9" x14ac:dyDescent="0.3">
      <c r="A6" s="5" t="s">
        <v>205</v>
      </c>
    </row>
    <row r="7" spans="1:9" x14ac:dyDescent="0.3">
      <c r="A7" s="97" t="s">
        <v>314</v>
      </c>
    </row>
    <row r="8" spans="1:9" x14ac:dyDescent="0.3">
      <c r="A8" s="116" t="s">
        <v>144</v>
      </c>
      <c r="B8" s="116" t="s">
        <v>275</v>
      </c>
      <c r="C8" s="116" t="s">
        <v>275</v>
      </c>
      <c r="E8" s="190"/>
      <c r="F8" s="31"/>
      <c r="G8" s="31"/>
      <c r="H8" s="31"/>
      <c r="I8" s="191"/>
    </row>
    <row r="9" spans="1:9" ht="15.6" x14ac:dyDescent="0.3">
      <c r="A9" s="140"/>
      <c r="B9" s="132" t="s">
        <v>312</v>
      </c>
      <c r="C9" s="132" t="s">
        <v>313</v>
      </c>
      <c r="E9" s="192" t="s">
        <v>433</v>
      </c>
      <c r="F9" s="193"/>
      <c r="G9" s="193" t="s">
        <v>437</v>
      </c>
      <c r="H9" s="194"/>
      <c r="I9" s="195"/>
    </row>
    <row r="10" spans="1:9" x14ac:dyDescent="0.3">
      <c r="A10" s="185" t="s">
        <v>148</v>
      </c>
      <c r="B10" s="181" t="s">
        <v>102</v>
      </c>
      <c r="C10" s="184">
        <f>'Parameter Values'!F231</f>
        <v>0.107</v>
      </c>
      <c r="E10" s="196">
        <f>'Vehicle Operating Cost Savings'!R31</f>
        <v>15</v>
      </c>
      <c r="F10" s="197"/>
      <c r="G10" s="198">
        <f>E10*1.5*2*5*50</f>
        <v>11250</v>
      </c>
      <c r="H10" s="194"/>
      <c r="I10" s="195"/>
    </row>
    <row r="11" spans="1:9" x14ac:dyDescent="0.3">
      <c r="A11" s="35" t="s">
        <v>149</v>
      </c>
      <c r="B11" s="181" t="s">
        <v>102</v>
      </c>
      <c r="C11" s="141">
        <f>'Parameter Values'!F232</f>
        <v>0.109</v>
      </c>
      <c r="E11" s="199"/>
      <c r="F11" s="194"/>
      <c r="G11" s="194"/>
      <c r="H11" s="194"/>
      <c r="I11" s="195"/>
    </row>
    <row r="12" spans="1:9" x14ac:dyDescent="0.3">
      <c r="A12" s="185" t="s">
        <v>150</v>
      </c>
      <c r="B12" s="184">
        <f>'Parameter Values'!E233</f>
        <v>1.2E-2</v>
      </c>
      <c r="C12" s="141">
        <f>'Parameter Values'!F233</f>
        <v>0.107</v>
      </c>
      <c r="E12" s="199"/>
      <c r="F12" s="194"/>
      <c r="G12" s="198" t="s">
        <v>434</v>
      </c>
      <c r="H12" s="198"/>
      <c r="I12" s="200"/>
    </row>
    <row r="13" spans="1:9" x14ac:dyDescent="0.3">
      <c r="A13" s="35" t="s">
        <v>151</v>
      </c>
      <c r="B13" s="181" t="s">
        <v>102</v>
      </c>
      <c r="C13" s="141">
        <f>'Parameter Values'!F234</f>
        <v>0.30299999999999999</v>
      </c>
      <c r="E13" s="199"/>
      <c r="F13" s="194"/>
      <c r="G13" s="198" t="s">
        <v>435</v>
      </c>
      <c r="H13" s="198"/>
      <c r="I13" s="200"/>
    </row>
    <row r="14" spans="1:9" x14ac:dyDescent="0.3">
      <c r="A14" s="35" t="s">
        <v>152</v>
      </c>
      <c r="B14" s="181" t="s">
        <v>102</v>
      </c>
      <c r="C14" s="141">
        <f>'Parameter Values'!F235</f>
        <v>0.29899999999999999</v>
      </c>
      <c r="E14" s="199"/>
      <c r="F14" s="194"/>
      <c r="G14" s="194"/>
      <c r="H14" s="194"/>
      <c r="I14" s="195"/>
    </row>
    <row r="15" spans="1:9" ht="16.5" customHeight="1" x14ac:dyDescent="0.3">
      <c r="A15" s="35" t="s">
        <v>153</v>
      </c>
      <c r="B15" s="141">
        <f>'Parameter Values'!E236</f>
        <v>3.5000000000000003E-2</v>
      </c>
      <c r="C15" s="141">
        <f>'Parameter Values'!F236</f>
        <v>0.30099999999999999</v>
      </c>
      <c r="E15" s="199"/>
      <c r="F15" s="194"/>
      <c r="G15" s="194"/>
      <c r="H15" s="194"/>
      <c r="I15" s="195"/>
    </row>
    <row r="16" spans="1:9" x14ac:dyDescent="0.3">
      <c r="A16" s="35" t="s">
        <v>154</v>
      </c>
      <c r="B16" s="181" t="s">
        <v>102</v>
      </c>
      <c r="C16" s="141">
        <f>'Parameter Values'!F237</f>
        <v>0.124</v>
      </c>
      <c r="E16" s="199"/>
      <c r="F16" s="194"/>
      <c r="G16" s="194"/>
      <c r="H16" s="194"/>
      <c r="I16" s="195"/>
    </row>
    <row r="17" spans="1:74" x14ac:dyDescent="0.3">
      <c r="A17" s="35" t="s">
        <v>155</v>
      </c>
      <c r="B17" s="181" t="s">
        <v>102</v>
      </c>
      <c r="C17" s="141">
        <f>'Parameter Values'!F238</f>
        <v>0.14000000000000001</v>
      </c>
      <c r="E17" s="201"/>
      <c r="F17" s="202"/>
      <c r="G17" s="202"/>
      <c r="H17" s="202"/>
      <c r="I17" s="203"/>
    </row>
    <row r="18" spans="1:74" x14ac:dyDescent="0.3">
      <c r="A18" s="35" t="s">
        <v>156</v>
      </c>
      <c r="B18" s="141">
        <f>'Parameter Values'!E239</f>
        <v>1.4999999999999999E-2</v>
      </c>
      <c r="C18" s="141">
        <f>'Parameter Values'!F239</f>
        <v>0.129</v>
      </c>
    </row>
    <row r="19" spans="1:74" x14ac:dyDescent="0.3">
      <c r="A19" s="116" t="s">
        <v>278</v>
      </c>
      <c r="B19" s="116" t="s">
        <v>288</v>
      </c>
      <c r="C19" s="116" t="s">
        <v>288</v>
      </c>
    </row>
    <row r="20" spans="1:74" ht="15.6" x14ac:dyDescent="0.3">
      <c r="A20" s="131" t="s">
        <v>279</v>
      </c>
      <c r="B20" s="132" t="s">
        <v>312</v>
      </c>
      <c r="C20" s="132" t="s">
        <v>313</v>
      </c>
    </row>
    <row r="21" spans="1:74" x14ac:dyDescent="0.3">
      <c r="A21" s="35" t="s">
        <v>280</v>
      </c>
      <c r="B21" s="133">
        <f>'Parameter Values'!C63</f>
        <v>749</v>
      </c>
      <c r="C21" s="133">
        <f>'Parameter Values'!D63</f>
        <v>28</v>
      </c>
    </row>
    <row r="22" spans="1:74" x14ac:dyDescent="0.3">
      <c r="A22" s="35" t="s">
        <v>281</v>
      </c>
      <c r="B22" s="133">
        <f>'Parameter Values'!C64</f>
        <v>102</v>
      </c>
      <c r="C22" s="133">
        <f>'Parameter Values'!D64</f>
        <v>26</v>
      </c>
    </row>
    <row r="23" spans="1:74" x14ac:dyDescent="0.3">
      <c r="A23" s="35" t="s">
        <v>282</v>
      </c>
      <c r="B23" s="133">
        <f>'Parameter Values'!C65</f>
        <v>102</v>
      </c>
      <c r="C23" s="133">
        <f>'Parameter Values'!D65</f>
        <v>26</v>
      </c>
    </row>
    <row r="24" spans="1:74" x14ac:dyDescent="0.3">
      <c r="A24" s="35" t="s">
        <v>283</v>
      </c>
      <c r="B24" s="133">
        <f>'Parameter Values'!C66</f>
        <v>102</v>
      </c>
      <c r="C24" s="133">
        <f>'Parameter Values'!D66</f>
        <v>26</v>
      </c>
    </row>
    <row r="25" spans="1:74" ht="15.6" x14ac:dyDescent="0.3">
      <c r="A25" s="131" t="s">
        <v>284</v>
      </c>
      <c r="B25" s="132" t="s">
        <v>312</v>
      </c>
      <c r="C25" s="132" t="s">
        <v>313</v>
      </c>
    </row>
    <row r="26" spans="1:74" x14ac:dyDescent="0.3">
      <c r="A26" s="35" t="s">
        <v>280</v>
      </c>
      <c r="B26" s="133">
        <f>'Parameter Values'!C68</f>
        <v>2202</v>
      </c>
      <c r="C26" s="133">
        <f>'Parameter Values'!D68</f>
        <v>280</v>
      </c>
    </row>
    <row r="27" spans="1:74" x14ac:dyDescent="0.3">
      <c r="A27" s="35" t="s">
        <v>281</v>
      </c>
      <c r="B27" s="133">
        <f>'Parameter Values'!C69</f>
        <v>727</v>
      </c>
      <c r="C27" s="133">
        <f>'Parameter Values'!D69</f>
        <v>218</v>
      </c>
    </row>
    <row r="28" spans="1:74" x14ac:dyDescent="0.3">
      <c r="A28" s="35" t="s">
        <v>282</v>
      </c>
      <c r="B28" s="133">
        <f>'Parameter Values'!C70</f>
        <v>727</v>
      </c>
      <c r="C28" s="133">
        <f>'Parameter Values'!D70</f>
        <v>218</v>
      </c>
    </row>
    <row r="29" spans="1:74" x14ac:dyDescent="0.3">
      <c r="A29" s="35" t="s">
        <v>283</v>
      </c>
      <c r="B29" s="133">
        <f>'Parameter Values'!C71</f>
        <v>727</v>
      </c>
      <c r="C29" s="133">
        <f>'Parameter Values'!D71</f>
        <v>218</v>
      </c>
    </row>
    <row r="30" spans="1:74" x14ac:dyDescent="0.3">
      <c r="A30" s="5" t="s">
        <v>205</v>
      </c>
    </row>
    <row r="31" spans="1:74" ht="15" thickBot="1" x14ac:dyDescent="0.35">
      <c r="A31" s="97" t="s">
        <v>311</v>
      </c>
      <c r="B31" s="135"/>
      <c r="C31" s="135"/>
      <c r="D31" s="135"/>
      <c r="E31" s="135"/>
      <c r="F31" s="135"/>
    </row>
    <row r="32" spans="1:74" ht="15.6" x14ac:dyDescent="0.35">
      <c r="A32" s="107" t="s">
        <v>4</v>
      </c>
      <c r="B32" s="110" t="s">
        <v>307</v>
      </c>
      <c r="C32" s="110" t="s">
        <v>308</v>
      </c>
      <c r="D32" s="110" t="s">
        <v>309</v>
      </c>
      <c r="E32" s="110" t="s">
        <v>310</v>
      </c>
      <c r="F32" s="110"/>
      <c r="G32" s="110" t="s">
        <v>225</v>
      </c>
      <c r="H32" s="108" t="s">
        <v>226</v>
      </c>
      <c r="I32" s="110" t="s">
        <v>227</v>
      </c>
      <c r="J32" s="108" t="s">
        <v>228</v>
      </c>
      <c r="K32" s="110" t="s">
        <v>229</v>
      </c>
      <c r="L32" s="108" t="s">
        <v>230</v>
      </c>
      <c r="M32" s="110" t="s">
        <v>231</v>
      </c>
      <c r="N32" s="108" t="s">
        <v>232</v>
      </c>
      <c r="O32" s="111" t="s">
        <v>233</v>
      </c>
      <c r="P32" s="112" t="s">
        <v>234</v>
      </c>
      <c r="Q32" s="112" t="s">
        <v>235</v>
      </c>
      <c r="R32" s="112" t="s">
        <v>236</v>
      </c>
      <c r="S32" s="113" t="s">
        <v>237</v>
      </c>
      <c r="T32" s="108" t="s">
        <v>238</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3">
      <c r="A33" s="6">
        <f>'Project Information'!$B$9</f>
        <v>2029</v>
      </c>
      <c r="B33" s="136">
        <v>0</v>
      </c>
      <c r="C33" s="136">
        <f>-($B$12*$G$10)</f>
        <v>-135</v>
      </c>
      <c r="D33" s="136">
        <v>0</v>
      </c>
      <c r="E33" s="137">
        <f>-($C$10*$G$10)</f>
        <v>-1203.75</v>
      </c>
      <c r="F33" s="6"/>
      <c r="G33" s="27">
        <v>0</v>
      </c>
      <c r="H33" s="27">
        <v>0</v>
      </c>
      <c r="I33" s="27">
        <v>0</v>
      </c>
      <c r="J33" s="27">
        <v>0</v>
      </c>
      <c r="K33" s="27">
        <v>0</v>
      </c>
      <c r="L33" s="27">
        <v>0</v>
      </c>
      <c r="M33" s="27">
        <v>0</v>
      </c>
      <c r="N33" s="27">
        <v>0</v>
      </c>
      <c r="O33" s="19">
        <f>IFERROR(VLOOKUP($A33,'Parameter Values'!$A$78:$E$107,2,FALSE),'Parameter Values'!B$107)</f>
        <v>21700</v>
      </c>
      <c r="P33" s="19">
        <f>IFERROR(VLOOKUP($A33,'Parameter Values'!$A$78:$E$107,3,FALSE),'Parameter Values'!C$107)</f>
        <v>60100</v>
      </c>
      <c r="Q33" s="19">
        <f>IFERROR(VLOOKUP($A33,'Parameter Values'!$A$78:$E$107,4,FALSE),'Parameter Values'!D$107)</f>
        <v>1049600</v>
      </c>
      <c r="R33" s="19">
        <f>IFERROR(VLOOKUP($A33,'Parameter Values'!$A$78:$E$107,5,FALSE),'Parameter Values'!E$107)</f>
        <v>253.00479213520464</v>
      </c>
      <c r="S33" s="19">
        <f>(B33-C33)+((G33-H33)*O33)+((I33-J33)*P33)+((K33-L33)*Q33)</f>
        <v>135</v>
      </c>
      <c r="T33" s="18">
        <f>(D33-E33)+((M33-N33)*R33)</f>
        <v>1203.75</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3">
      <c r="A34" s="1">
        <f>IF(A33&lt;'Project Information'!B$11,A33+1,"")</f>
        <v>2030</v>
      </c>
      <c r="B34" s="136">
        <v>0</v>
      </c>
      <c r="C34" s="136">
        <f t="shared" ref="C34:C52" si="0">-($B$12*$G$10)</f>
        <v>-135</v>
      </c>
      <c r="D34" s="136">
        <v>0</v>
      </c>
      <c r="E34" s="137">
        <f t="shared" ref="E34:E52" si="1">-($C$10*$G$10)</f>
        <v>-1203.75</v>
      </c>
      <c r="F34" s="1"/>
      <c r="G34" s="27">
        <v>0</v>
      </c>
      <c r="H34" s="27">
        <v>0</v>
      </c>
      <c r="I34" s="27">
        <v>0</v>
      </c>
      <c r="J34" s="27">
        <v>0</v>
      </c>
      <c r="K34" s="27">
        <v>0</v>
      </c>
      <c r="L34" s="27">
        <v>0</v>
      </c>
      <c r="M34" s="27">
        <v>0</v>
      </c>
      <c r="N34" s="27">
        <v>0</v>
      </c>
      <c r="O34" s="19">
        <f>IFERROR(VLOOKUP($A34,'Parameter Values'!$A$78:$E$107,2,FALSE),'Parameter Values'!B$107)</f>
        <v>22000</v>
      </c>
      <c r="P34" s="19">
        <f>IFERROR(VLOOKUP($A34,'Parameter Values'!$A$78:$E$107,3,FALSE),'Parameter Values'!C$107)</f>
        <v>61500</v>
      </c>
      <c r="Q34" s="19">
        <f>IFERROR(VLOOKUP($A34,'Parameter Values'!$A$78:$E$107,4,FALSE),'Parameter Values'!D$107)</f>
        <v>1069000</v>
      </c>
      <c r="R34" s="19">
        <f>IFERROR(VLOOKUP($A34,'Parameter Values'!$A$78:$E$107,5,FALSE),'Parameter Values'!E$107)</f>
        <v>257.48275305795164</v>
      </c>
      <c r="S34" s="19">
        <f t="shared" ref="S34:S62" si="2">(B34-C34)+((G34-H34)*O34)+((I34-J34)*P34)+((K34-L34)*Q34)</f>
        <v>135</v>
      </c>
      <c r="T34" s="18">
        <f t="shared" ref="T34:T62" si="3">(D34-E34)+((M34-N34)*R34)</f>
        <v>1203.75</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3">
      <c r="A35" s="1">
        <f>IF(A34&lt;'Project Information'!B$11,A34+1,"")</f>
        <v>2031</v>
      </c>
      <c r="B35" s="136">
        <v>0</v>
      </c>
      <c r="C35" s="136">
        <f t="shared" si="0"/>
        <v>-135</v>
      </c>
      <c r="D35" s="136">
        <v>0</v>
      </c>
      <c r="E35" s="137">
        <f t="shared" si="1"/>
        <v>-1203.75</v>
      </c>
      <c r="F35" s="1"/>
      <c r="G35" s="27">
        <v>0</v>
      </c>
      <c r="H35" s="27">
        <v>0</v>
      </c>
      <c r="I35" s="27">
        <v>0</v>
      </c>
      <c r="J35" s="27">
        <v>0</v>
      </c>
      <c r="K35" s="27">
        <v>0</v>
      </c>
      <c r="L35" s="27">
        <v>0</v>
      </c>
      <c r="M35" s="27">
        <v>0</v>
      </c>
      <c r="N35" s="27">
        <v>0</v>
      </c>
      <c r="O35" s="19">
        <f>IFERROR(VLOOKUP($A35,'Parameter Values'!$A$78:$E$107,2,FALSE),'Parameter Values'!B$107)</f>
        <v>22000</v>
      </c>
      <c r="P35" s="19">
        <f>IFERROR(VLOOKUP($A35,'Parameter Values'!$A$78:$E$107,3,FALSE),'Parameter Values'!C$107)</f>
        <v>61500</v>
      </c>
      <c r="Q35" s="19">
        <f>IFERROR(VLOOKUP($A35,'Parameter Values'!$A$78:$E$107,4,FALSE),'Parameter Values'!D$107)</f>
        <v>1069000</v>
      </c>
      <c r="R35" s="19">
        <f>IFERROR(VLOOKUP($A35,'Parameter Values'!$A$78:$E$107,5,FALSE),'Parameter Values'!E$107)</f>
        <v>261.96071398069864</v>
      </c>
      <c r="S35" s="19">
        <f t="shared" si="2"/>
        <v>135</v>
      </c>
      <c r="T35" s="18">
        <f t="shared" si="3"/>
        <v>1203.75</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3">
      <c r="A36" s="1">
        <f>IF(A35&lt;'Project Information'!B$11,A35+1,"")</f>
        <v>2032</v>
      </c>
      <c r="B36" s="136">
        <v>0</v>
      </c>
      <c r="C36" s="136">
        <f t="shared" si="0"/>
        <v>-135</v>
      </c>
      <c r="D36" s="136">
        <v>0</v>
      </c>
      <c r="E36" s="137">
        <f t="shared" si="1"/>
        <v>-1203.75</v>
      </c>
      <c r="F36" s="1"/>
      <c r="G36" s="27">
        <v>0</v>
      </c>
      <c r="H36" s="27">
        <v>0</v>
      </c>
      <c r="I36" s="27">
        <v>0</v>
      </c>
      <c r="J36" s="27">
        <v>0</v>
      </c>
      <c r="K36" s="27">
        <v>0</v>
      </c>
      <c r="L36" s="27">
        <v>0</v>
      </c>
      <c r="M36" s="27">
        <v>0</v>
      </c>
      <c r="N36" s="27">
        <v>0</v>
      </c>
      <c r="O36" s="19">
        <f>IFERROR(VLOOKUP($A36,'Parameter Values'!$A$78:$E$107,2,FALSE),'Parameter Values'!B$107)</f>
        <v>22000</v>
      </c>
      <c r="P36" s="19">
        <f>IFERROR(VLOOKUP($A36,'Parameter Values'!$A$78:$E$107,3,FALSE),'Parameter Values'!C$107)</f>
        <v>61500</v>
      </c>
      <c r="Q36" s="19">
        <f>IFERROR(VLOOKUP($A36,'Parameter Values'!$A$78:$E$107,4,FALSE),'Parameter Values'!D$107)</f>
        <v>1069000</v>
      </c>
      <c r="R36" s="19">
        <f>IFERROR(VLOOKUP($A36,'Parameter Values'!$A$78:$E$107,5,FALSE),'Parameter Values'!E$107)</f>
        <v>265.31918467275887</v>
      </c>
      <c r="S36" s="19">
        <f t="shared" si="2"/>
        <v>135</v>
      </c>
      <c r="T36" s="18">
        <f t="shared" si="3"/>
        <v>1203.75</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3">
      <c r="A37" s="1">
        <f>IF(A36&lt;'Project Information'!B$11,A36+1,"")</f>
        <v>2033</v>
      </c>
      <c r="B37" s="136">
        <v>0</v>
      </c>
      <c r="C37" s="136">
        <f t="shared" si="0"/>
        <v>-135</v>
      </c>
      <c r="D37" s="136">
        <v>0</v>
      </c>
      <c r="E37" s="137">
        <f t="shared" si="1"/>
        <v>-1203.75</v>
      </c>
      <c r="F37" s="1"/>
      <c r="G37" s="27">
        <v>0</v>
      </c>
      <c r="H37" s="27">
        <v>0</v>
      </c>
      <c r="I37" s="27">
        <v>0</v>
      </c>
      <c r="J37" s="27">
        <v>0</v>
      </c>
      <c r="K37" s="27">
        <v>0</v>
      </c>
      <c r="L37" s="27">
        <v>0</v>
      </c>
      <c r="M37" s="27">
        <v>0</v>
      </c>
      <c r="N37" s="27">
        <v>0</v>
      </c>
      <c r="O37" s="19">
        <f>IFERROR(VLOOKUP($A37,'Parameter Values'!$A$78:$E$107,2,FALSE),'Parameter Values'!B$107)</f>
        <v>22000</v>
      </c>
      <c r="P37" s="19">
        <f>IFERROR(VLOOKUP($A37,'Parameter Values'!$A$78:$E$107,3,FALSE),'Parameter Values'!C$107)</f>
        <v>61500</v>
      </c>
      <c r="Q37" s="19">
        <f>IFERROR(VLOOKUP($A37,'Parameter Values'!$A$78:$E$107,4,FALSE),'Parameter Values'!D$107)</f>
        <v>1069000</v>
      </c>
      <c r="R37" s="19">
        <f>IFERROR(VLOOKUP($A37,'Parameter Values'!$A$78:$E$107,5,FALSE),'Parameter Values'!E$107)</f>
        <v>269.79714559550587</v>
      </c>
      <c r="S37" s="19">
        <f t="shared" si="2"/>
        <v>135</v>
      </c>
      <c r="T37" s="18">
        <f t="shared" si="3"/>
        <v>1203.75</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3">
      <c r="A38" s="1">
        <f>IF(A37&lt;'Project Information'!B$11,A37+1,"")</f>
        <v>2034</v>
      </c>
      <c r="B38" s="136">
        <v>0</v>
      </c>
      <c r="C38" s="136">
        <f t="shared" si="0"/>
        <v>-135</v>
      </c>
      <c r="D38" s="136">
        <v>0</v>
      </c>
      <c r="E38" s="137">
        <f t="shared" si="1"/>
        <v>-1203.75</v>
      </c>
      <c r="F38" s="1"/>
      <c r="G38" s="27">
        <v>0</v>
      </c>
      <c r="H38" s="27">
        <v>0</v>
      </c>
      <c r="I38" s="27">
        <v>0</v>
      </c>
      <c r="J38" s="27">
        <v>0</v>
      </c>
      <c r="K38" s="27">
        <v>0</v>
      </c>
      <c r="L38" s="27">
        <v>0</v>
      </c>
      <c r="M38" s="27">
        <v>0</v>
      </c>
      <c r="N38" s="27">
        <v>0</v>
      </c>
      <c r="O38" s="19">
        <f>IFERROR(VLOOKUP($A38,'Parameter Values'!$A$78:$E$107,2,FALSE),'Parameter Values'!B$107)</f>
        <v>22000</v>
      </c>
      <c r="P38" s="19">
        <f>IFERROR(VLOOKUP($A38,'Parameter Values'!$A$78:$E$107,3,FALSE),'Parameter Values'!C$107)</f>
        <v>61500</v>
      </c>
      <c r="Q38" s="19">
        <f>IFERROR(VLOOKUP($A38,'Parameter Values'!$A$78:$E$107,4,FALSE),'Parameter Values'!D$107)</f>
        <v>1069000</v>
      </c>
      <c r="R38" s="19">
        <f>IFERROR(VLOOKUP($A38,'Parameter Values'!$A$78:$E$107,5,FALSE),'Parameter Values'!E$107)</f>
        <v>274.27510651825281</v>
      </c>
      <c r="S38" s="19">
        <f t="shared" si="2"/>
        <v>135</v>
      </c>
      <c r="T38" s="18">
        <f t="shared" si="3"/>
        <v>1203.75</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3">
      <c r="A39" s="1">
        <f>IF(A38&lt;'Project Information'!B$11,A38+1,"")</f>
        <v>2035</v>
      </c>
      <c r="B39" s="136">
        <v>0</v>
      </c>
      <c r="C39" s="136">
        <f t="shared" si="0"/>
        <v>-135</v>
      </c>
      <c r="D39" s="136">
        <v>0</v>
      </c>
      <c r="E39" s="137">
        <f t="shared" si="1"/>
        <v>-1203.75</v>
      </c>
      <c r="F39" s="1"/>
      <c r="G39" s="27">
        <v>0</v>
      </c>
      <c r="H39" s="27">
        <v>0</v>
      </c>
      <c r="I39" s="27">
        <v>0</v>
      </c>
      <c r="J39" s="27">
        <v>0</v>
      </c>
      <c r="K39" s="27">
        <v>0</v>
      </c>
      <c r="L39" s="27">
        <v>0</v>
      </c>
      <c r="M39" s="27">
        <v>0</v>
      </c>
      <c r="N39" s="27">
        <v>0</v>
      </c>
      <c r="O39" s="19">
        <f>IFERROR(VLOOKUP($A39,'Parameter Values'!$A$78:$E$107,2,FALSE),'Parameter Values'!B$107)</f>
        <v>22000</v>
      </c>
      <c r="P39" s="19">
        <f>IFERROR(VLOOKUP($A39,'Parameter Values'!$A$78:$E$107,3,FALSE),'Parameter Values'!C$107)</f>
        <v>61500</v>
      </c>
      <c r="Q39" s="19">
        <f>IFERROR(VLOOKUP($A39,'Parameter Values'!$A$78:$E$107,4,FALSE),'Parameter Values'!D$107)</f>
        <v>1069000</v>
      </c>
      <c r="R39" s="19">
        <f>IFERROR(VLOOKUP($A39,'Parameter Values'!$A$78:$E$107,5,FALSE),'Parameter Values'!E$107)</f>
        <v>277.63357721031309</v>
      </c>
      <c r="S39" s="19">
        <f t="shared" si="2"/>
        <v>135</v>
      </c>
      <c r="T39" s="18">
        <f t="shared" si="3"/>
        <v>1203.75</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3">
      <c r="A40" s="1">
        <f>IF(A39&lt;'Project Information'!B$11,A39+1,"")</f>
        <v>2036</v>
      </c>
      <c r="B40" s="136">
        <v>0</v>
      </c>
      <c r="C40" s="136">
        <f t="shared" si="0"/>
        <v>-135</v>
      </c>
      <c r="D40" s="136">
        <v>0</v>
      </c>
      <c r="E40" s="137">
        <f t="shared" si="1"/>
        <v>-1203.75</v>
      </c>
      <c r="F40" s="1"/>
      <c r="G40" s="27">
        <v>0</v>
      </c>
      <c r="H40" s="27">
        <v>0</v>
      </c>
      <c r="I40" s="27">
        <v>0</v>
      </c>
      <c r="J40" s="27">
        <v>0</v>
      </c>
      <c r="K40" s="27">
        <v>0</v>
      </c>
      <c r="L40" s="27">
        <v>0</v>
      </c>
      <c r="M40" s="27">
        <v>0</v>
      </c>
      <c r="N40" s="27">
        <v>0</v>
      </c>
      <c r="O40" s="19">
        <f>IFERROR(VLOOKUP($A40,'Parameter Values'!$A$78:$E$107,2,FALSE),'Parameter Values'!B$107)</f>
        <v>22000</v>
      </c>
      <c r="P40" s="19">
        <f>IFERROR(VLOOKUP($A40,'Parameter Values'!$A$78:$E$107,3,FALSE),'Parameter Values'!C$107)</f>
        <v>61500</v>
      </c>
      <c r="Q40" s="19">
        <f>IFERROR(VLOOKUP($A40,'Parameter Values'!$A$78:$E$107,4,FALSE),'Parameter Values'!D$107)</f>
        <v>1069000</v>
      </c>
      <c r="R40" s="19">
        <f>IFERROR(VLOOKUP($A40,'Parameter Values'!$A$78:$E$107,5,FALSE),'Parameter Values'!E$107)</f>
        <v>282.11153813306004</v>
      </c>
      <c r="S40" s="19">
        <f t="shared" si="2"/>
        <v>135</v>
      </c>
      <c r="T40" s="18">
        <f t="shared" si="3"/>
        <v>1203.75</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3">
      <c r="A41" s="1">
        <f>IF(A40&lt;'Project Information'!B$11,A40+1,"")</f>
        <v>2037</v>
      </c>
      <c r="B41" s="136">
        <v>0</v>
      </c>
      <c r="C41" s="136">
        <f t="shared" si="0"/>
        <v>-135</v>
      </c>
      <c r="D41" s="136">
        <v>0</v>
      </c>
      <c r="E41" s="137">
        <f t="shared" si="1"/>
        <v>-1203.75</v>
      </c>
      <c r="F41" s="1"/>
      <c r="G41" s="27">
        <v>0</v>
      </c>
      <c r="H41" s="27">
        <v>0</v>
      </c>
      <c r="I41" s="27">
        <v>0</v>
      </c>
      <c r="J41" s="27">
        <v>0</v>
      </c>
      <c r="K41" s="27">
        <v>0</v>
      </c>
      <c r="L41" s="27">
        <v>0</v>
      </c>
      <c r="M41" s="27">
        <v>0</v>
      </c>
      <c r="N41" s="27">
        <v>0</v>
      </c>
      <c r="O41" s="19">
        <f>IFERROR(VLOOKUP($A41,'Parameter Values'!$A$78:$E$107,2,FALSE),'Parameter Values'!B$107)</f>
        <v>22000</v>
      </c>
      <c r="P41" s="19">
        <f>IFERROR(VLOOKUP($A41,'Parameter Values'!$A$78:$E$107,3,FALSE),'Parameter Values'!C$107)</f>
        <v>61500</v>
      </c>
      <c r="Q41" s="19">
        <f>IFERROR(VLOOKUP($A41,'Parameter Values'!$A$78:$E$107,4,FALSE),'Parameter Values'!D$107)</f>
        <v>1069000</v>
      </c>
      <c r="R41" s="19">
        <f>IFERROR(VLOOKUP($A41,'Parameter Values'!$A$78:$E$107,5,FALSE),'Parameter Values'!E$107)</f>
        <v>286.58949905580704</v>
      </c>
      <c r="S41" s="19">
        <f t="shared" si="2"/>
        <v>135</v>
      </c>
      <c r="T41" s="18">
        <f t="shared" si="3"/>
        <v>1203.75</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3">
      <c r="A42" s="1">
        <f>IF(A41&lt;'Project Information'!B$11,A41+1,"")</f>
        <v>2038</v>
      </c>
      <c r="B42" s="136">
        <v>0</v>
      </c>
      <c r="C42" s="136">
        <f t="shared" si="0"/>
        <v>-135</v>
      </c>
      <c r="D42" s="136">
        <v>0</v>
      </c>
      <c r="E42" s="137">
        <f t="shared" si="1"/>
        <v>-1203.75</v>
      </c>
      <c r="F42" s="1"/>
      <c r="G42" s="27">
        <v>0</v>
      </c>
      <c r="H42" s="27">
        <v>0</v>
      </c>
      <c r="I42" s="27">
        <v>0</v>
      </c>
      <c r="J42" s="27">
        <v>0</v>
      </c>
      <c r="K42" s="27">
        <v>0</v>
      </c>
      <c r="L42" s="27">
        <v>0</v>
      </c>
      <c r="M42" s="27">
        <v>0</v>
      </c>
      <c r="N42" s="27">
        <v>0</v>
      </c>
      <c r="O42" s="19">
        <f>IFERROR(VLOOKUP($A42,'Parameter Values'!$A$78:$E$107,2,FALSE),'Parameter Values'!B$107)</f>
        <v>22000</v>
      </c>
      <c r="P42" s="19">
        <f>IFERROR(VLOOKUP($A42,'Parameter Values'!$A$78:$E$107,3,FALSE),'Parameter Values'!C$107)</f>
        <v>61500</v>
      </c>
      <c r="Q42" s="19">
        <f>IFERROR(VLOOKUP($A42,'Parameter Values'!$A$78:$E$107,4,FALSE),'Parameter Values'!D$107)</f>
        <v>1069000</v>
      </c>
      <c r="R42" s="19">
        <f>IFERROR(VLOOKUP($A42,'Parameter Values'!$A$78:$E$107,5,FALSE),'Parameter Values'!E$107)</f>
        <v>289.94796974786726</v>
      </c>
      <c r="S42" s="19">
        <f t="shared" si="2"/>
        <v>135</v>
      </c>
      <c r="T42" s="18">
        <f t="shared" si="3"/>
        <v>1203.75</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3">
      <c r="A43" s="1">
        <f>IF(A42&lt;'Project Information'!B$11,A42+1,"")</f>
        <v>2039</v>
      </c>
      <c r="B43" s="136">
        <v>0</v>
      </c>
      <c r="C43" s="136">
        <f t="shared" si="0"/>
        <v>-135</v>
      </c>
      <c r="D43" s="136">
        <v>0</v>
      </c>
      <c r="E43" s="137">
        <f t="shared" si="1"/>
        <v>-1203.75</v>
      </c>
      <c r="F43" s="1"/>
      <c r="G43" s="27">
        <v>0</v>
      </c>
      <c r="H43" s="27">
        <v>0</v>
      </c>
      <c r="I43" s="27">
        <v>0</v>
      </c>
      <c r="J43" s="27">
        <v>0</v>
      </c>
      <c r="K43" s="27">
        <v>0</v>
      </c>
      <c r="L43" s="27">
        <v>0</v>
      </c>
      <c r="M43" s="27">
        <v>0</v>
      </c>
      <c r="N43" s="27">
        <v>0</v>
      </c>
      <c r="O43" s="19">
        <f>IFERROR(VLOOKUP($A43,'Parameter Values'!$A$78:$E$107,2,FALSE),'Parameter Values'!B$107)</f>
        <v>22000</v>
      </c>
      <c r="P43" s="19">
        <f>IFERROR(VLOOKUP($A43,'Parameter Values'!$A$78:$E$107,3,FALSE),'Parameter Values'!C$107)</f>
        <v>61500</v>
      </c>
      <c r="Q43" s="19">
        <f>IFERROR(VLOOKUP($A43,'Parameter Values'!$A$78:$E$107,4,FALSE),'Parameter Values'!D$107)</f>
        <v>1069000</v>
      </c>
      <c r="R43" s="19">
        <f>IFERROR(VLOOKUP($A43,'Parameter Values'!$A$78:$E$107,5,FALSE),'Parameter Values'!E$107)</f>
        <v>294.42593067061426</v>
      </c>
      <c r="S43" s="19">
        <f t="shared" si="2"/>
        <v>135</v>
      </c>
      <c r="T43" s="18">
        <f t="shared" si="3"/>
        <v>1203.75</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3">
      <c r="A44" s="1">
        <f>IF(A43&lt;'Project Information'!B$11,A43+1,"")</f>
        <v>2040</v>
      </c>
      <c r="B44" s="136">
        <v>0</v>
      </c>
      <c r="C44" s="136">
        <f t="shared" si="0"/>
        <v>-135</v>
      </c>
      <c r="D44" s="136">
        <v>0</v>
      </c>
      <c r="E44" s="137">
        <f t="shared" si="1"/>
        <v>-1203.75</v>
      </c>
      <c r="F44" s="1"/>
      <c r="G44" s="27">
        <v>0</v>
      </c>
      <c r="H44" s="27">
        <v>0</v>
      </c>
      <c r="I44" s="27">
        <v>0</v>
      </c>
      <c r="J44" s="27">
        <v>0</v>
      </c>
      <c r="K44" s="27">
        <v>0</v>
      </c>
      <c r="L44" s="27">
        <v>0</v>
      </c>
      <c r="M44" s="27">
        <v>0</v>
      </c>
      <c r="N44" s="27">
        <v>0</v>
      </c>
      <c r="O44" s="19">
        <f>IFERROR(VLOOKUP($A44,'Parameter Values'!$A$78:$E$107,2,FALSE),'Parameter Values'!B$107)</f>
        <v>22000</v>
      </c>
      <c r="P44" s="19">
        <f>IFERROR(VLOOKUP($A44,'Parameter Values'!$A$78:$E$107,3,FALSE),'Parameter Values'!C$107)</f>
        <v>61500</v>
      </c>
      <c r="Q44" s="19">
        <f>IFERROR(VLOOKUP($A44,'Parameter Values'!$A$78:$E$107,4,FALSE),'Parameter Values'!D$107)</f>
        <v>1069000</v>
      </c>
      <c r="R44" s="19">
        <f>IFERROR(VLOOKUP($A44,'Parameter Values'!$A$78:$E$107,5,FALSE),'Parameter Values'!E$107)</f>
        <v>298.90389159336127</v>
      </c>
      <c r="S44" s="19">
        <f t="shared" si="2"/>
        <v>135</v>
      </c>
      <c r="T44" s="18">
        <f t="shared" si="3"/>
        <v>1203.75</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3">
      <c r="A45" s="1">
        <f>IF(A44&lt;'Project Information'!B$11,A44+1,"")</f>
        <v>2041</v>
      </c>
      <c r="B45" s="136">
        <v>0</v>
      </c>
      <c r="C45" s="136">
        <f t="shared" si="0"/>
        <v>-135</v>
      </c>
      <c r="D45" s="136">
        <v>0</v>
      </c>
      <c r="E45" s="137">
        <f t="shared" si="1"/>
        <v>-1203.75</v>
      </c>
      <c r="F45" s="1"/>
      <c r="G45" s="27">
        <v>0</v>
      </c>
      <c r="H45" s="27">
        <v>0</v>
      </c>
      <c r="I45" s="27">
        <v>0</v>
      </c>
      <c r="J45" s="27">
        <v>0</v>
      </c>
      <c r="K45" s="27">
        <v>0</v>
      </c>
      <c r="L45" s="27">
        <v>0</v>
      </c>
      <c r="M45" s="27">
        <v>0</v>
      </c>
      <c r="N45" s="27">
        <v>0</v>
      </c>
      <c r="O45" s="19">
        <f>IFERROR(VLOOKUP($A45,'Parameter Values'!$A$78:$E$107,2,FALSE),'Parameter Values'!B$107)</f>
        <v>22000</v>
      </c>
      <c r="P45" s="19">
        <f>IFERROR(VLOOKUP($A45,'Parameter Values'!$A$78:$E$107,3,FALSE),'Parameter Values'!C$107)</f>
        <v>61500</v>
      </c>
      <c r="Q45" s="19">
        <f>IFERROR(VLOOKUP($A45,'Parameter Values'!$A$78:$E$107,4,FALSE),'Parameter Values'!D$107)</f>
        <v>1069000</v>
      </c>
      <c r="R45" s="19">
        <f>IFERROR(VLOOKUP($A45,'Parameter Values'!$A$78:$E$107,5,FALSE),'Parameter Values'!E$107)</f>
        <v>303.38185251610821</v>
      </c>
      <c r="S45" s="19">
        <f t="shared" si="2"/>
        <v>135</v>
      </c>
      <c r="T45" s="18">
        <f t="shared" si="3"/>
        <v>1203.75</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3">
      <c r="A46" s="1">
        <f>IF(A45&lt;'Project Information'!B$11,A45+1,"")</f>
        <v>2042</v>
      </c>
      <c r="B46" s="136">
        <v>0</v>
      </c>
      <c r="C46" s="136">
        <f t="shared" si="0"/>
        <v>-135</v>
      </c>
      <c r="D46" s="136">
        <v>0</v>
      </c>
      <c r="E46" s="137">
        <f t="shared" si="1"/>
        <v>-1203.75</v>
      </c>
      <c r="F46" s="1"/>
      <c r="G46" s="27">
        <v>0</v>
      </c>
      <c r="H46" s="27">
        <v>0</v>
      </c>
      <c r="I46" s="27">
        <v>0</v>
      </c>
      <c r="J46" s="27">
        <v>0</v>
      </c>
      <c r="K46" s="27">
        <v>0</v>
      </c>
      <c r="L46" s="27">
        <v>0</v>
      </c>
      <c r="M46" s="27">
        <v>0</v>
      </c>
      <c r="N46" s="27">
        <v>0</v>
      </c>
      <c r="O46" s="19">
        <f>IFERROR(VLOOKUP($A46,'Parameter Values'!$A$78:$E$107,2,FALSE),'Parameter Values'!B$107)</f>
        <v>22000</v>
      </c>
      <c r="P46" s="19">
        <f>IFERROR(VLOOKUP($A46,'Parameter Values'!$A$78:$E$107,3,FALSE),'Parameter Values'!C$107)</f>
        <v>61500</v>
      </c>
      <c r="Q46" s="19">
        <f>IFERROR(VLOOKUP($A46,'Parameter Values'!$A$78:$E$107,4,FALSE),'Parameter Values'!D$107)</f>
        <v>1069000</v>
      </c>
      <c r="R46" s="19">
        <f>IFERROR(VLOOKUP($A46,'Parameter Values'!$A$78:$E$107,5,FALSE),'Parameter Values'!E$107)</f>
        <v>307.85981343885521</v>
      </c>
      <c r="S46" s="19">
        <f t="shared" si="2"/>
        <v>135</v>
      </c>
      <c r="T46" s="18">
        <f t="shared" si="3"/>
        <v>1203.75</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3">
      <c r="A47" s="1">
        <f>IF(A46&lt;'Project Information'!B$11,A46+1,"")</f>
        <v>2043</v>
      </c>
      <c r="B47" s="136">
        <v>0</v>
      </c>
      <c r="C47" s="136">
        <f t="shared" si="0"/>
        <v>-135</v>
      </c>
      <c r="D47" s="136">
        <v>0</v>
      </c>
      <c r="E47" s="137">
        <f t="shared" si="1"/>
        <v>-1203.75</v>
      </c>
      <c r="F47" s="1"/>
      <c r="G47" s="27">
        <v>0</v>
      </c>
      <c r="H47" s="27">
        <v>0</v>
      </c>
      <c r="I47" s="27">
        <v>0</v>
      </c>
      <c r="J47" s="27">
        <v>0</v>
      </c>
      <c r="K47" s="27">
        <v>0</v>
      </c>
      <c r="L47" s="27">
        <v>0</v>
      </c>
      <c r="M47" s="27">
        <v>0</v>
      </c>
      <c r="N47" s="27">
        <v>0</v>
      </c>
      <c r="O47" s="19">
        <f>IFERROR(VLOOKUP($A47,'Parameter Values'!$A$78:$E$107,2,FALSE),'Parameter Values'!B$107)</f>
        <v>22000</v>
      </c>
      <c r="P47" s="19">
        <f>IFERROR(VLOOKUP($A47,'Parameter Values'!$A$78:$E$107,3,FALSE),'Parameter Values'!C$107)</f>
        <v>61500</v>
      </c>
      <c r="Q47" s="19">
        <f>IFERROR(VLOOKUP($A47,'Parameter Values'!$A$78:$E$107,4,FALSE),'Parameter Values'!D$107)</f>
        <v>1069000</v>
      </c>
      <c r="R47" s="19">
        <f>IFERROR(VLOOKUP($A47,'Parameter Values'!$A$78:$E$107,5,FALSE),'Parameter Values'!E$107)</f>
        <v>312.33777436160221</v>
      </c>
      <c r="S47" s="19">
        <f t="shared" si="2"/>
        <v>135</v>
      </c>
      <c r="T47" s="18">
        <f t="shared" si="3"/>
        <v>1203.75</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3">
      <c r="A48" s="1">
        <f>IF(A47&lt;'Project Information'!B$11,A47+1,"")</f>
        <v>2044</v>
      </c>
      <c r="B48" s="136">
        <v>0</v>
      </c>
      <c r="C48" s="136">
        <f t="shared" si="0"/>
        <v>-135</v>
      </c>
      <c r="D48" s="136">
        <v>0</v>
      </c>
      <c r="E48" s="137">
        <f t="shared" si="1"/>
        <v>-1203.75</v>
      </c>
      <c r="F48" s="1"/>
      <c r="G48" s="27">
        <v>0</v>
      </c>
      <c r="H48" s="27">
        <v>0</v>
      </c>
      <c r="I48" s="27">
        <v>0</v>
      </c>
      <c r="J48" s="27">
        <v>0</v>
      </c>
      <c r="K48" s="27">
        <v>0</v>
      </c>
      <c r="L48" s="27">
        <v>0</v>
      </c>
      <c r="M48" s="27">
        <v>0</v>
      </c>
      <c r="N48" s="27">
        <v>0</v>
      </c>
      <c r="O48" s="19">
        <f>IFERROR(VLOOKUP($A48,'Parameter Values'!$A$78:$E$107,2,FALSE),'Parameter Values'!B$107)</f>
        <v>22000</v>
      </c>
      <c r="P48" s="19">
        <f>IFERROR(VLOOKUP($A48,'Parameter Values'!$A$78:$E$107,3,FALSE),'Parameter Values'!C$107)</f>
        <v>61500</v>
      </c>
      <c r="Q48" s="19">
        <f>IFERROR(VLOOKUP($A48,'Parameter Values'!$A$78:$E$107,4,FALSE),'Parameter Values'!D$107)</f>
        <v>1069000</v>
      </c>
      <c r="R48" s="19">
        <f>IFERROR(VLOOKUP($A48,'Parameter Values'!$A$78:$E$107,5,FALSE),'Parameter Values'!E$107)</f>
        <v>316.81573528434916</v>
      </c>
      <c r="S48" s="19">
        <f t="shared" si="2"/>
        <v>135</v>
      </c>
      <c r="T48" s="18">
        <f t="shared" si="3"/>
        <v>1203.75</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3">
      <c r="A49" s="1">
        <f>IF(A48&lt;'Project Information'!B$11,A48+1,"")</f>
        <v>2045</v>
      </c>
      <c r="B49" s="136">
        <v>0</v>
      </c>
      <c r="C49" s="136">
        <f t="shared" si="0"/>
        <v>-135</v>
      </c>
      <c r="D49" s="136">
        <v>0</v>
      </c>
      <c r="E49" s="137">
        <f t="shared" si="1"/>
        <v>-1203.75</v>
      </c>
      <c r="F49" s="1"/>
      <c r="G49" s="27">
        <v>0</v>
      </c>
      <c r="H49" s="27">
        <v>0</v>
      </c>
      <c r="I49" s="27">
        <v>0</v>
      </c>
      <c r="J49" s="27">
        <v>0</v>
      </c>
      <c r="K49" s="27">
        <v>0</v>
      </c>
      <c r="L49" s="27">
        <v>0</v>
      </c>
      <c r="M49" s="27">
        <v>0</v>
      </c>
      <c r="N49" s="27">
        <v>0</v>
      </c>
      <c r="O49" s="19">
        <f>IFERROR(VLOOKUP($A49,'Parameter Values'!$A$78:$E$107,2,FALSE),'Parameter Values'!B$107)</f>
        <v>22000</v>
      </c>
      <c r="P49" s="19">
        <f>IFERROR(VLOOKUP($A49,'Parameter Values'!$A$78:$E$107,3,FALSE),'Parameter Values'!C$107)</f>
        <v>61500</v>
      </c>
      <c r="Q49" s="19">
        <f>IFERROR(VLOOKUP($A49,'Parameter Values'!$A$78:$E$107,4,FALSE),'Parameter Values'!D$107)</f>
        <v>1069000</v>
      </c>
      <c r="R49" s="19">
        <f>IFERROR(VLOOKUP($A49,'Parameter Values'!$A$78:$E$107,5,FALSE),'Parameter Values'!E$107)</f>
        <v>321.29369620709616</v>
      </c>
      <c r="S49" s="19">
        <f t="shared" si="2"/>
        <v>135</v>
      </c>
      <c r="T49" s="18">
        <f t="shared" si="3"/>
        <v>1203.75</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3">
      <c r="A50" s="1">
        <f>IF(A49&lt;'Project Information'!B$11,A49+1,"")</f>
        <v>2046</v>
      </c>
      <c r="B50" s="136">
        <v>0</v>
      </c>
      <c r="C50" s="136">
        <f t="shared" si="0"/>
        <v>-135</v>
      </c>
      <c r="D50" s="136">
        <v>0</v>
      </c>
      <c r="E50" s="137">
        <f t="shared" si="1"/>
        <v>-1203.75</v>
      </c>
      <c r="F50" s="1"/>
      <c r="G50" s="27">
        <v>0</v>
      </c>
      <c r="H50" s="27">
        <v>0</v>
      </c>
      <c r="I50" s="27">
        <v>0</v>
      </c>
      <c r="J50" s="27">
        <v>0</v>
      </c>
      <c r="K50" s="27">
        <v>0</v>
      </c>
      <c r="L50" s="27">
        <v>0</v>
      </c>
      <c r="M50" s="27">
        <v>0</v>
      </c>
      <c r="N50" s="27">
        <v>0</v>
      </c>
      <c r="O50" s="19">
        <f>IFERROR(VLOOKUP($A50,'Parameter Values'!$A$78:$E$107,2,FALSE),'Parameter Values'!B$107)</f>
        <v>22000</v>
      </c>
      <c r="P50" s="19">
        <f>IFERROR(VLOOKUP($A50,'Parameter Values'!$A$78:$E$107,3,FALSE),'Parameter Values'!C$107)</f>
        <v>61500</v>
      </c>
      <c r="Q50" s="19">
        <f>IFERROR(VLOOKUP($A50,'Parameter Values'!$A$78:$E$107,4,FALSE),'Parameter Values'!D$107)</f>
        <v>1069000</v>
      </c>
      <c r="R50" s="19">
        <f>IFERROR(VLOOKUP($A50,'Parameter Values'!$A$78:$E$107,5,FALSE),'Parameter Values'!E$107)</f>
        <v>325.77165712984316</v>
      </c>
      <c r="S50" s="19">
        <f t="shared" si="2"/>
        <v>135</v>
      </c>
      <c r="T50" s="18">
        <f t="shared" si="3"/>
        <v>1203.75</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3">
      <c r="A51" s="1">
        <f>IF(A50&lt;'Project Information'!B$11,A50+1,"")</f>
        <v>2047</v>
      </c>
      <c r="B51" s="136">
        <v>0</v>
      </c>
      <c r="C51" s="136">
        <f t="shared" si="0"/>
        <v>-135</v>
      </c>
      <c r="D51" s="136">
        <v>0</v>
      </c>
      <c r="E51" s="137">
        <f t="shared" si="1"/>
        <v>-1203.75</v>
      </c>
      <c r="F51" s="1"/>
      <c r="G51" s="27">
        <v>0</v>
      </c>
      <c r="H51" s="27">
        <v>0</v>
      </c>
      <c r="I51" s="27">
        <v>0</v>
      </c>
      <c r="J51" s="27">
        <v>0</v>
      </c>
      <c r="K51" s="27">
        <v>0</v>
      </c>
      <c r="L51" s="27">
        <v>0</v>
      </c>
      <c r="M51" s="27">
        <v>0</v>
      </c>
      <c r="N51" s="27">
        <v>0</v>
      </c>
      <c r="O51" s="19">
        <f>IFERROR(VLOOKUP($A51,'Parameter Values'!$A$78:$E$107,2,FALSE),'Parameter Values'!B$107)</f>
        <v>22000</v>
      </c>
      <c r="P51" s="19">
        <f>IFERROR(VLOOKUP($A51,'Parameter Values'!$A$78:$E$107,3,FALSE),'Parameter Values'!C$107)</f>
        <v>61500</v>
      </c>
      <c r="Q51" s="19">
        <f>IFERROR(VLOOKUP($A51,'Parameter Values'!$A$78:$E$107,4,FALSE),'Parameter Values'!D$107)</f>
        <v>1069000</v>
      </c>
      <c r="R51" s="19">
        <f>IFERROR(VLOOKUP($A51,'Parameter Values'!$A$78:$E$107,5,FALSE),'Parameter Values'!E$107)</f>
        <v>331.36910828327689</v>
      </c>
      <c r="S51" s="19">
        <f t="shared" si="2"/>
        <v>135</v>
      </c>
      <c r="T51" s="18">
        <f t="shared" si="3"/>
        <v>1203.75</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3">
      <c r="A52" s="1">
        <f>IF(A51&lt;'Project Information'!B$11,A51+1,"")</f>
        <v>2048</v>
      </c>
      <c r="B52" s="136">
        <v>0</v>
      </c>
      <c r="C52" s="136">
        <f t="shared" si="0"/>
        <v>-135</v>
      </c>
      <c r="D52" s="136">
        <v>0</v>
      </c>
      <c r="E52" s="137">
        <f t="shared" si="1"/>
        <v>-1203.75</v>
      </c>
      <c r="F52" s="1"/>
      <c r="G52" s="27">
        <v>0</v>
      </c>
      <c r="H52" s="27">
        <v>0</v>
      </c>
      <c r="I52" s="27">
        <v>0</v>
      </c>
      <c r="J52" s="27">
        <v>0</v>
      </c>
      <c r="K52" s="27">
        <v>0</v>
      </c>
      <c r="L52" s="27">
        <v>0</v>
      </c>
      <c r="M52" s="27">
        <v>0</v>
      </c>
      <c r="N52" s="27">
        <v>0</v>
      </c>
      <c r="O52" s="19">
        <f>IFERROR(VLOOKUP($A52,'Parameter Values'!$A$78:$E$107,2,FALSE),'Parameter Values'!B$107)</f>
        <v>22000</v>
      </c>
      <c r="P52" s="19">
        <f>IFERROR(VLOOKUP($A52,'Parameter Values'!$A$78:$E$107,3,FALSE),'Parameter Values'!C$107)</f>
        <v>61500</v>
      </c>
      <c r="Q52" s="19">
        <f>IFERROR(VLOOKUP($A52,'Parameter Values'!$A$78:$E$107,4,FALSE),'Parameter Values'!D$107)</f>
        <v>1069000</v>
      </c>
      <c r="R52" s="19">
        <f>IFERROR(VLOOKUP($A52,'Parameter Values'!$A$78:$E$107,5,FALSE),'Parameter Values'!E$107)</f>
        <v>335.84706920602389</v>
      </c>
      <c r="S52" s="19">
        <f t="shared" si="2"/>
        <v>135</v>
      </c>
      <c r="T52" s="18">
        <f t="shared" si="3"/>
        <v>1203.75</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3">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22000</v>
      </c>
      <c r="P53" s="19">
        <f>IFERROR(VLOOKUP($A53,'Parameter Values'!$A$78:$E$107,3,FALSE),'Parameter Values'!C$107)</f>
        <v>61500</v>
      </c>
      <c r="Q53" s="19">
        <f>IFERROR(VLOOKUP($A53,'Parameter Values'!$A$78:$E$107,4,FALSE),'Parameter Values'!D$107)</f>
        <v>1069000</v>
      </c>
      <c r="R53" s="19">
        <f>IFERROR(VLOOKUP($A53,'Parameter Values'!$A$78:$E$107,5,FALSE),'Parameter Values'!E$107)</f>
        <v>349.28095197426484</v>
      </c>
      <c r="S53" s="19">
        <f t="shared" si="2"/>
        <v>0</v>
      </c>
      <c r="T53" s="18">
        <f t="shared" si="3"/>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3">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22000</v>
      </c>
      <c r="P54" s="19">
        <f>IFERROR(VLOOKUP($A54,'Parameter Values'!$A$78:$E$107,3,FALSE),'Parameter Values'!C$107)</f>
        <v>61500</v>
      </c>
      <c r="Q54" s="19">
        <f>IFERROR(VLOOKUP($A54,'Parameter Values'!$A$78:$E$107,4,FALSE),'Parameter Values'!D$107)</f>
        <v>1069000</v>
      </c>
      <c r="R54" s="19">
        <f>IFERROR(VLOOKUP($A54,'Parameter Values'!$A$78:$E$107,5,FALSE),'Parameter Values'!E$107)</f>
        <v>349.28095197426484</v>
      </c>
      <c r="S54" s="19">
        <f t="shared" si="2"/>
        <v>0</v>
      </c>
      <c r="T54" s="18">
        <f t="shared" si="3"/>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3">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22000</v>
      </c>
      <c r="P55" s="19">
        <f>IFERROR(VLOOKUP($A55,'Parameter Values'!$A$78:$E$107,3,FALSE),'Parameter Values'!C$107)</f>
        <v>61500</v>
      </c>
      <c r="Q55" s="19">
        <f>IFERROR(VLOOKUP($A55,'Parameter Values'!$A$78:$E$107,4,FALSE),'Parameter Values'!D$107)</f>
        <v>1069000</v>
      </c>
      <c r="R55" s="19">
        <f>IFERROR(VLOOKUP($A55,'Parameter Values'!$A$78:$E$107,5,FALSE),'Parameter Values'!E$107)</f>
        <v>349.28095197426484</v>
      </c>
      <c r="S55" s="19">
        <f t="shared" si="2"/>
        <v>0</v>
      </c>
      <c r="T55" s="18">
        <f t="shared" si="3"/>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3">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22000</v>
      </c>
      <c r="P56" s="19">
        <f>IFERROR(VLOOKUP($A56,'Parameter Values'!$A$78:$E$107,3,FALSE),'Parameter Values'!C$107)</f>
        <v>61500</v>
      </c>
      <c r="Q56" s="19">
        <f>IFERROR(VLOOKUP($A56,'Parameter Values'!$A$78:$E$107,4,FALSE),'Parameter Values'!D$107)</f>
        <v>1069000</v>
      </c>
      <c r="R56" s="19">
        <f>IFERROR(VLOOKUP($A56,'Parameter Values'!$A$78:$E$107,5,FALSE),'Parameter Values'!E$107)</f>
        <v>349.28095197426484</v>
      </c>
      <c r="S56" s="19">
        <f t="shared" si="2"/>
        <v>0</v>
      </c>
      <c r="T56" s="18">
        <f t="shared" si="3"/>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3">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22000</v>
      </c>
      <c r="P57" s="19">
        <f>IFERROR(VLOOKUP($A57,'Parameter Values'!$A$78:$E$107,3,FALSE),'Parameter Values'!C$107)</f>
        <v>61500</v>
      </c>
      <c r="Q57" s="19">
        <f>IFERROR(VLOOKUP($A57,'Parameter Values'!$A$78:$E$107,4,FALSE),'Parameter Values'!D$107)</f>
        <v>1069000</v>
      </c>
      <c r="R57" s="19">
        <f>IFERROR(VLOOKUP($A57,'Parameter Values'!$A$78:$E$107,5,FALSE),'Parameter Values'!E$107)</f>
        <v>349.28095197426484</v>
      </c>
      <c r="S57" s="19">
        <f t="shared" si="2"/>
        <v>0</v>
      </c>
      <c r="T57" s="18">
        <f t="shared" si="3"/>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3">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22000</v>
      </c>
      <c r="P58" s="19">
        <f>IFERROR(VLOOKUP($A58,'Parameter Values'!$A$78:$E$107,3,FALSE),'Parameter Values'!C$107)</f>
        <v>61500</v>
      </c>
      <c r="Q58" s="19">
        <f>IFERROR(VLOOKUP($A58,'Parameter Values'!$A$78:$E$107,4,FALSE),'Parameter Values'!D$107)</f>
        <v>1069000</v>
      </c>
      <c r="R58" s="19">
        <f>IFERROR(VLOOKUP($A58,'Parameter Values'!$A$78:$E$107,5,FALSE),'Parameter Values'!E$107)</f>
        <v>349.28095197426484</v>
      </c>
      <c r="S58" s="19">
        <f t="shared" si="2"/>
        <v>0</v>
      </c>
      <c r="T58" s="18">
        <f t="shared" si="3"/>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3">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22000</v>
      </c>
      <c r="P59" s="19">
        <f>IFERROR(VLOOKUP($A59,'Parameter Values'!$A$78:$E$107,3,FALSE),'Parameter Values'!C$107)</f>
        <v>61500</v>
      </c>
      <c r="Q59" s="19">
        <f>IFERROR(VLOOKUP($A59,'Parameter Values'!$A$78:$E$107,4,FALSE),'Parameter Values'!D$107)</f>
        <v>1069000</v>
      </c>
      <c r="R59" s="19">
        <f>IFERROR(VLOOKUP($A59,'Parameter Values'!$A$78:$E$107,5,FALSE),'Parameter Values'!E$107)</f>
        <v>349.28095197426484</v>
      </c>
      <c r="S59" s="19">
        <f t="shared" si="2"/>
        <v>0</v>
      </c>
      <c r="T59" s="18">
        <f t="shared" si="3"/>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3">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22000</v>
      </c>
      <c r="P60" s="19">
        <f>IFERROR(VLOOKUP($A60,'Parameter Values'!$A$78:$E$107,3,FALSE),'Parameter Values'!C$107)</f>
        <v>61500</v>
      </c>
      <c r="Q60" s="19">
        <f>IFERROR(VLOOKUP($A60,'Parameter Values'!$A$78:$E$107,4,FALSE),'Parameter Values'!D$107)</f>
        <v>1069000</v>
      </c>
      <c r="R60" s="19">
        <f>IFERROR(VLOOKUP($A60,'Parameter Values'!$A$78:$E$107,5,FALSE),'Parameter Values'!E$107)</f>
        <v>349.28095197426484</v>
      </c>
      <c r="S60" s="19">
        <f t="shared" si="2"/>
        <v>0</v>
      </c>
      <c r="T60" s="18">
        <f t="shared" si="3"/>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3">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22000</v>
      </c>
      <c r="P61" s="19">
        <f>IFERROR(VLOOKUP($A61,'Parameter Values'!$A$78:$E$107,3,FALSE),'Parameter Values'!C$107)</f>
        <v>61500</v>
      </c>
      <c r="Q61" s="19">
        <f>IFERROR(VLOOKUP($A61,'Parameter Values'!$A$78:$E$107,4,FALSE),'Parameter Values'!D$107)</f>
        <v>1069000</v>
      </c>
      <c r="R61" s="19">
        <f>IFERROR(VLOOKUP($A61,'Parameter Values'!$A$78:$E$107,5,FALSE),'Parameter Values'!E$107)</f>
        <v>349.28095197426484</v>
      </c>
      <c r="S61" s="19">
        <f t="shared" si="2"/>
        <v>0</v>
      </c>
      <c r="T61" s="18">
        <f t="shared" si="3"/>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3">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22000</v>
      </c>
      <c r="P62" s="20">
        <f>IFERROR(VLOOKUP($A62,'Parameter Values'!$A$78:$E$107,3,FALSE),'Parameter Values'!C$107)</f>
        <v>61500</v>
      </c>
      <c r="Q62" s="20">
        <f>IFERROR(VLOOKUP($A62,'Parameter Values'!$A$78:$E$107,4,FALSE),'Parameter Values'!D$107)</f>
        <v>1069000</v>
      </c>
      <c r="R62" s="20">
        <f>IFERROR(VLOOKUP($A62,'Parameter Values'!$A$78:$E$107,5,FALSE),'Parameter Values'!E$107)</f>
        <v>349.28095197426484</v>
      </c>
      <c r="S62" s="19">
        <f t="shared" si="2"/>
        <v>0</v>
      </c>
      <c r="T62" s="18">
        <f t="shared" si="3"/>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3">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3">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3">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3">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3">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3">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3">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3">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3">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3">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3">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3">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3">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3">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3">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3">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3">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3">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3">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3">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3">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3">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3">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3">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3">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3">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3">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3">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3">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3">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3">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3">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3">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3">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3">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3">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3">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3">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3">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3">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3">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3">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3">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3">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3">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3">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3">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3">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3">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 thickBot="1" x14ac:dyDescent="0.35">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A99"/>
  <sheetViews>
    <sheetView workbookViewId="0">
      <selection activeCell="D28" sqref="D28"/>
    </sheetView>
  </sheetViews>
  <sheetFormatPr defaultColWidth="9.109375" defaultRowHeight="14.4" x14ac:dyDescent="0.3"/>
  <cols>
    <col min="1" max="1" width="32" style="5" customWidth="1"/>
    <col min="2" max="2" width="24.44140625" style="5" customWidth="1"/>
    <col min="3" max="3" width="25.6640625" style="5" customWidth="1"/>
    <col min="4" max="4" width="24.44140625" style="5" customWidth="1"/>
    <col min="5" max="10" width="9.109375" style="5"/>
    <col min="11" max="11" width="10.33203125" style="5" customWidth="1"/>
    <col min="12" max="16384" width="9.109375" style="5"/>
  </cols>
  <sheetData>
    <row r="1" spans="1:11" ht="20.399999999999999" thickBot="1" x14ac:dyDescent="0.45">
      <c r="A1" s="96" t="s">
        <v>358</v>
      </c>
    </row>
    <row r="2" spans="1:11" ht="15" thickTop="1" x14ac:dyDescent="0.3">
      <c r="A2" s="152" t="s">
        <v>245</v>
      </c>
      <c r="B2" s="152"/>
      <c r="C2" s="152"/>
      <c r="D2" s="152"/>
      <c r="E2" s="152"/>
      <c r="F2" s="152"/>
      <c r="G2" s="152"/>
      <c r="H2" s="152"/>
      <c r="I2" s="152"/>
    </row>
    <row r="3" spans="1:11" x14ac:dyDescent="0.3">
      <c r="A3" s="5" t="s">
        <v>205</v>
      </c>
    </row>
    <row r="4" spans="1:11" x14ac:dyDescent="0.3">
      <c r="A4" s="153" t="s">
        <v>265</v>
      </c>
      <c r="B4" s="152"/>
      <c r="C4" s="152"/>
      <c r="D4" s="152"/>
      <c r="E4" s="152"/>
      <c r="F4" s="152"/>
      <c r="G4" s="152"/>
      <c r="H4" s="152"/>
      <c r="I4" s="152"/>
      <c r="J4" s="152"/>
      <c r="K4" s="152"/>
    </row>
    <row r="5" spans="1:11" x14ac:dyDescent="0.3">
      <c r="A5" s="38" t="s">
        <v>205</v>
      </c>
    </row>
    <row r="6" spans="1:11" x14ac:dyDescent="0.3">
      <c r="A6" s="97" t="s">
        <v>246</v>
      </c>
    </row>
    <row r="7" spans="1:11" x14ac:dyDescent="0.3">
      <c r="A7" s="117" t="s">
        <v>144</v>
      </c>
      <c r="B7" s="163" t="s">
        <v>259</v>
      </c>
      <c r="C7" s="164" t="s">
        <v>260</v>
      </c>
      <c r="D7" s="165" t="s">
        <v>261</v>
      </c>
    </row>
    <row r="8" spans="1:11" x14ac:dyDescent="0.3">
      <c r="A8" s="43" t="str">
        <f>'Parameter Values'!A231</f>
        <v>Light-Duty Vehicles - Urban</v>
      </c>
      <c r="B8" s="143">
        <f>'Parameter Values'!B231</f>
        <v>0.13800000000000001</v>
      </c>
      <c r="C8" s="144">
        <f>'Parameter Values'!C231</f>
        <v>1.9E-3</v>
      </c>
      <c r="D8" s="142">
        <f>'Parameter Values'!D231</f>
        <v>1.7000000000000001E-2</v>
      </c>
    </row>
    <row r="9" spans="1:11" x14ac:dyDescent="0.3">
      <c r="A9" s="43" t="str">
        <f>'Parameter Values'!A232</f>
        <v>Light-Duty Vehicles - Rural</v>
      </c>
      <c r="B9" s="143">
        <f>'Parameter Values'!B232</f>
        <v>2.9000000000000001E-2</v>
      </c>
      <c r="C9" s="144">
        <f>'Parameter Values'!C232</f>
        <v>2.0000000000000001E-4</v>
      </c>
      <c r="D9" s="142">
        <f>'Parameter Values'!D232</f>
        <v>9.6000000000000002E-2</v>
      </c>
    </row>
    <row r="10" spans="1:11" x14ac:dyDescent="0.3">
      <c r="A10" s="43" t="str">
        <f>'Parameter Values'!A233</f>
        <v>Light-Duty Vehicles – All Locations</v>
      </c>
      <c r="B10" s="143">
        <f>'Parameter Values'!B233</f>
        <v>0.11600000000000001</v>
      </c>
      <c r="C10" s="144">
        <f>'Parameter Values'!C233</f>
        <v>1.1000000000000001E-3</v>
      </c>
      <c r="D10" s="142">
        <f>'Parameter Values'!D233</f>
        <v>0.04</v>
      </c>
    </row>
    <row r="11" spans="1:11" x14ac:dyDescent="0.3">
      <c r="A11" s="43" t="str">
        <f>'Parameter Values'!A234</f>
        <v>Buses and Trucks - Urban</v>
      </c>
      <c r="B11" s="143">
        <f>'Parameter Values'!B234</f>
        <v>0.34499999999999997</v>
      </c>
      <c r="C11" s="144">
        <f>'Parameter Values'!C234</f>
        <v>4.3700000000000003E-2</v>
      </c>
      <c r="D11" s="142">
        <f>'Parameter Values'!D234</f>
        <v>1.6E-2</v>
      </c>
    </row>
    <row r="12" spans="1:11" x14ac:dyDescent="0.3">
      <c r="A12" s="43" t="str">
        <f>'Parameter Values'!A235</f>
        <v>Buses and Trucks - Rural</v>
      </c>
      <c r="B12" s="143">
        <f>'Parameter Values'!B235</f>
        <v>7.4999999999999997E-2</v>
      </c>
      <c r="C12" s="144">
        <f>'Parameter Values'!C235</f>
        <v>3.7000000000000002E-3</v>
      </c>
      <c r="D12" s="142">
        <f>'Parameter Values'!D235</f>
        <v>2.7E-2</v>
      </c>
    </row>
    <row r="13" spans="1:11" x14ac:dyDescent="0.3">
      <c r="A13" s="43" t="str">
        <f>'Parameter Values'!A236</f>
        <v>Buses and Trucks – All Locations</v>
      </c>
      <c r="B13" s="143">
        <f>'Parameter Values'!B236</f>
        <v>0.23599999999999999</v>
      </c>
      <c r="C13" s="144">
        <f>'Parameter Values'!C236</f>
        <v>2.1999999999999999E-2</v>
      </c>
      <c r="D13" s="142">
        <f>'Parameter Values'!D236</f>
        <v>2.1000000000000001E-2</v>
      </c>
    </row>
    <row r="14" spans="1:11" x14ac:dyDescent="0.3">
      <c r="A14" s="43" t="str">
        <f>'Parameter Values'!A237</f>
        <v>All Vehicles - Urban</v>
      </c>
      <c r="B14" s="143">
        <f>'Parameter Values'!B237</f>
        <v>0.154</v>
      </c>
      <c r="C14" s="144">
        <f>'Parameter Values'!C237</f>
        <v>5.1000000000000004E-3</v>
      </c>
      <c r="D14" s="142">
        <f>'Parameter Values'!D237</f>
        <v>1.7000000000000001E-2</v>
      </c>
    </row>
    <row r="15" spans="1:11" x14ac:dyDescent="0.3">
      <c r="A15" s="43" t="str">
        <f>'Parameter Values'!A238</f>
        <v>All Vehicles - Rural</v>
      </c>
      <c r="B15" s="143">
        <f>'Parameter Values'!B238</f>
        <v>3.5999999999999997E-2</v>
      </c>
      <c r="C15" s="144">
        <f>'Parameter Values'!C238</f>
        <v>6.9999999999999999E-4</v>
      </c>
      <c r="D15" s="142">
        <f>'Parameter Values'!D238</f>
        <v>8.5999999999999993E-2</v>
      </c>
    </row>
    <row r="16" spans="1:11" x14ac:dyDescent="0.3">
      <c r="A16" s="43" t="str">
        <f>'Parameter Values'!A239</f>
        <v>All Vehicles – All Locations</v>
      </c>
      <c r="B16" s="143">
        <f>'Parameter Values'!B239</f>
        <v>0.128</v>
      </c>
      <c r="C16" s="144">
        <f>'Parameter Values'!C239</f>
        <v>3.0999999999999999E-3</v>
      </c>
      <c r="D16" s="142">
        <f>'Parameter Values'!D239</f>
        <v>3.7999999999999999E-2</v>
      </c>
    </row>
    <row r="17" spans="1:53" x14ac:dyDescent="0.3">
      <c r="A17" s="38" t="s">
        <v>205</v>
      </c>
    </row>
    <row r="18" spans="1:53" ht="15" thickBot="1" x14ac:dyDescent="0.35">
      <c r="A18" s="97" t="s">
        <v>262</v>
      </c>
    </row>
    <row r="19" spans="1:53" x14ac:dyDescent="0.3">
      <c r="A19" s="107" t="s">
        <v>4</v>
      </c>
      <c r="B19" s="108" t="s">
        <v>258</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3">
      <c r="A20" s="6">
        <f>'Project Information'!$B$9</f>
        <v>2029</v>
      </c>
      <c r="B20" s="168">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3">
      <c r="A21" s="169">
        <f>IF(A20&lt;'Project Information'!B$11,A20+1,"")</f>
        <v>2030</v>
      </c>
      <c r="B21" s="168">
        <v>0</v>
      </c>
      <c r="F21" s="13"/>
      <c r="G21" s="187" t="s">
        <v>441</v>
      </c>
      <c r="H21" s="187"/>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3">
      <c r="A22" s="169">
        <f>IF(A21&lt;'Project Information'!B$11,A21+1,"")</f>
        <v>2031</v>
      </c>
      <c r="B22" s="168">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3">
      <c r="A23" s="169">
        <f>IF(A22&lt;'Project Information'!B$11,A22+1,"")</f>
        <v>2032</v>
      </c>
      <c r="B23" s="168">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3">
      <c r="A24" s="169">
        <f>IF(A23&lt;'Project Information'!B$11,A23+1,"")</f>
        <v>2033</v>
      </c>
      <c r="B24" s="168">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3">
      <c r="A25" s="169">
        <f>IF(A24&lt;'Project Information'!B$11,A24+1,"")</f>
        <v>2034</v>
      </c>
      <c r="B25" s="168">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3">
      <c r="A26" s="169">
        <f>IF(A25&lt;'Project Information'!B$11,A25+1,"")</f>
        <v>2035</v>
      </c>
      <c r="B26" s="168">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3">
      <c r="A27" s="169">
        <f>IF(A26&lt;'Project Information'!B$11,A26+1,"")</f>
        <v>2036</v>
      </c>
      <c r="B27" s="168">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3">
      <c r="A28" s="169">
        <f>IF(A27&lt;'Project Information'!B$11,A27+1,"")</f>
        <v>2037</v>
      </c>
      <c r="B28" s="168">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3">
      <c r="A29" s="169">
        <f>IF(A28&lt;'Project Information'!B$11,A28+1,"")</f>
        <v>2038</v>
      </c>
      <c r="B29" s="168">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3">
      <c r="A30" s="169">
        <f>IF(A29&lt;'Project Information'!B$11,A29+1,"")</f>
        <v>2039</v>
      </c>
      <c r="B30" s="168">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3">
      <c r="A31" s="169">
        <f>IF(A30&lt;'Project Information'!B$11,A30+1,"")</f>
        <v>2040</v>
      </c>
      <c r="B31" s="168">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3">
      <c r="A32" s="169">
        <f>IF(A31&lt;'Project Information'!B$11,A31+1,"")</f>
        <v>2041</v>
      </c>
      <c r="B32" s="168">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3">
      <c r="A33" s="169">
        <f>IF(A32&lt;'Project Information'!B$11,A32+1,"")</f>
        <v>2042</v>
      </c>
      <c r="B33" s="168">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3">
      <c r="A34" s="169">
        <f>IF(A33&lt;'Project Information'!B$11,A33+1,"")</f>
        <v>2043</v>
      </c>
      <c r="B34" s="168">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3">
      <c r="A35" s="169">
        <f>IF(A34&lt;'Project Information'!B$11,A34+1,"")</f>
        <v>2044</v>
      </c>
      <c r="B35" s="168">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3">
      <c r="A36" s="169">
        <f>IF(A35&lt;'Project Information'!B$11,A35+1,"")</f>
        <v>2045</v>
      </c>
      <c r="B36" s="168">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3">
      <c r="A37" s="169">
        <f>IF(A36&lt;'Project Information'!B$11,A36+1,"")</f>
        <v>2046</v>
      </c>
      <c r="B37" s="168">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3">
      <c r="A38" s="169">
        <f>IF(A37&lt;'Project Information'!B$11,A37+1,"")</f>
        <v>2047</v>
      </c>
      <c r="B38" s="168">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3">
      <c r="A39" s="169">
        <f>IF(A38&lt;'Project Information'!B$11,A38+1,"")</f>
        <v>2048</v>
      </c>
      <c r="B39" s="168">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3">
      <c r="A40" s="169" t="str">
        <f>IF(A39&lt;'Project Information'!B$11,A39+1,"")</f>
        <v/>
      </c>
      <c r="B40" s="168">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3">
      <c r="A41" s="169" t="str">
        <f>IF(A40&lt;'Project Information'!B$11,A40+1,"")</f>
        <v/>
      </c>
      <c r="B41" s="168">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3">
      <c r="A42" s="169" t="str">
        <f>IF(A41&lt;'Project Information'!B$11,A41+1,"")</f>
        <v/>
      </c>
      <c r="B42" s="168">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3">
      <c r="A43" s="169" t="str">
        <f>IF(A42&lt;'Project Information'!B$11,A42+1,"")</f>
        <v/>
      </c>
      <c r="B43" s="168">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3">
      <c r="A44" s="169" t="str">
        <f>IF(A43&lt;'Project Information'!B$11,A43+1,"")</f>
        <v/>
      </c>
      <c r="B44" s="168">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3">
      <c r="A45" s="169" t="str">
        <f>IF(A44&lt;'Project Information'!B$11,A44+1,"")</f>
        <v/>
      </c>
      <c r="B45" s="168">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3">
      <c r="A46" s="169" t="str">
        <f>IF(A45&lt;'Project Information'!B$11,A45+1,"")</f>
        <v/>
      </c>
      <c r="B46" s="168">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3">
      <c r="A47" s="169" t="str">
        <f>IF(A46&lt;'Project Information'!B$11,A46+1,"")</f>
        <v/>
      </c>
      <c r="B47" s="168">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3">
      <c r="A48" s="169" t="str">
        <f>IF(A47&lt;'Project Information'!B$11,A47+1,"")</f>
        <v/>
      </c>
      <c r="B48" s="168">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3">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3">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3">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3">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3">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3">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3">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3">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3">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3">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3">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3">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3">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3">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3">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3">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3">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3">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3">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3">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3">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3">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3">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3">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3">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3">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3">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3">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3">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3">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3">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3">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3">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3">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3">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3">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3">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3">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3">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3">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3">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3">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3">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3">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3">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3">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3">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3">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3">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3">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 thickBot="1" x14ac:dyDescent="0.35">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Z90"/>
  <sheetViews>
    <sheetView topLeftCell="A3" workbookViewId="0">
      <selection activeCell="A31" sqref="A31"/>
    </sheetView>
  </sheetViews>
  <sheetFormatPr defaultColWidth="9.109375" defaultRowHeight="14.4" x14ac:dyDescent="0.3"/>
  <cols>
    <col min="1" max="1" width="26.44140625" style="5" customWidth="1"/>
    <col min="2" max="2" width="28.88671875" style="5" customWidth="1"/>
    <col min="3" max="16384" width="9.109375" style="5"/>
  </cols>
  <sheetData>
    <row r="1" spans="1:52" ht="20.399999999999999" thickBot="1" x14ac:dyDescent="0.45">
      <c r="A1" s="96" t="s">
        <v>14</v>
      </c>
    </row>
    <row r="2" spans="1:52" ht="15" thickTop="1" x14ac:dyDescent="0.3">
      <c r="A2" s="152" t="s">
        <v>245</v>
      </c>
      <c r="B2" s="152"/>
      <c r="C2" s="152"/>
      <c r="D2" s="152"/>
      <c r="E2" s="152"/>
      <c r="F2" s="152"/>
      <c r="G2" s="152"/>
      <c r="H2" s="152"/>
      <c r="I2" s="152"/>
      <c r="J2" s="152"/>
      <c r="K2" s="152"/>
    </row>
    <row r="3" spans="1:52" x14ac:dyDescent="0.3">
      <c r="A3" s="5" t="s">
        <v>205</v>
      </c>
    </row>
    <row r="4" spans="1:52" x14ac:dyDescent="0.3">
      <c r="A4" s="153" t="s">
        <v>265</v>
      </c>
      <c r="B4" s="152"/>
      <c r="C4" s="152"/>
      <c r="D4" s="152"/>
      <c r="E4" s="152"/>
      <c r="F4" s="152"/>
      <c r="G4" s="152"/>
      <c r="H4" s="152"/>
      <c r="I4" s="152"/>
      <c r="J4" s="152"/>
      <c r="K4" s="152"/>
      <c r="L4" s="152"/>
      <c r="M4" s="152"/>
      <c r="N4" s="152"/>
    </row>
    <row r="5" spans="1:52" x14ac:dyDescent="0.3">
      <c r="A5" s="38" t="s">
        <v>205</v>
      </c>
    </row>
    <row r="6" spans="1:52" x14ac:dyDescent="0.3">
      <c r="A6" s="153" t="s">
        <v>253</v>
      </c>
      <c r="B6" s="152"/>
      <c r="C6" s="152"/>
      <c r="D6" s="152"/>
      <c r="E6" s="152"/>
    </row>
    <row r="7" spans="1:52" x14ac:dyDescent="0.3">
      <c r="A7" s="153" t="s">
        <v>254</v>
      </c>
      <c r="B7" s="152"/>
      <c r="C7" s="152"/>
      <c r="D7" s="152"/>
      <c r="E7" s="152"/>
      <c r="F7" s="152"/>
      <c r="G7" s="152"/>
      <c r="H7" s="152"/>
    </row>
    <row r="8" spans="1:52" x14ac:dyDescent="0.3">
      <c r="A8" s="5" t="s">
        <v>205</v>
      </c>
    </row>
    <row r="9" spans="1:52" ht="15" thickBot="1" x14ac:dyDescent="0.35">
      <c r="A9" s="97" t="s">
        <v>250</v>
      </c>
    </row>
    <row r="10" spans="1:52" x14ac:dyDescent="0.3">
      <c r="A10" s="107" t="s">
        <v>4</v>
      </c>
      <c r="B10" s="108" t="s">
        <v>14</v>
      </c>
      <c r="E10" s="10" t="s">
        <v>161</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3">
      <c r="A11" s="6">
        <f>'Project Information'!$B$9</f>
        <v>2029</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
      <c r="A12" s="169">
        <f>IF(A11&lt;'Project Information'!B$11,A11+1,"")</f>
        <v>2030</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69">
        <f>IF(A12&lt;'Project Information'!B$11,A12+1,"")</f>
        <v>2031</v>
      </c>
      <c r="B13" s="168">
        <v>0</v>
      </c>
      <c r="E13" s="209"/>
      <c r="F13" s="187" t="s">
        <v>453</v>
      </c>
      <c r="G13" s="187"/>
      <c r="H13" s="187"/>
      <c r="I13" s="187"/>
      <c r="J13" s="187"/>
      <c r="K13" s="187"/>
      <c r="L13" s="187"/>
      <c r="M13" s="187"/>
      <c r="N13" s="187"/>
      <c r="O13" s="187"/>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69">
        <f>IF(A13&lt;'Project Information'!B$11,A13+1,"")</f>
        <v>2032</v>
      </c>
      <c r="B14" s="168">
        <v>0</v>
      </c>
      <c r="E14" s="209">
        <v>1</v>
      </c>
      <c r="F14" s="187" t="s">
        <v>455</v>
      </c>
      <c r="G14" s="187"/>
      <c r="H14" s="187"/>
      <c r="I14" s="187"/>
      <c r="J14" s="187"/>
      <c r="K14" s="187"/>
      <c r="L14" s="187"/>
      <c r="M14" s="187"/>
      <c r="N14" s="187"/>
      <c r="O14" s="187"/>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
      <c r="A15" s="169">
        <f>IF(A14&lt;'Project Information'!B$11,A14+1,"")</f>
        <v>2033</v>
      </c>
      <c r="B15" s="168">
        <v>0</v>
      </c>
      <c r="E15" s="209">
        <v>2</v>
      </c>
      <c r="F15" s="187" t="s">
        <v>454</v>
      </c>
      <c r="G15" s="187"/>
      <c r="H15" s="187"/>
      <c r="I15" s="187"/>
      <c r="J15" s="187"/>
      <c r="K15" s="187"/>
      <c r="L15" s="187"/>
      <c r="M15" s="187"/>
      <c r="N15" s="187"/>
      <c r="O15" s="187"/>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69">
        <f>IF(A15&lt;'Project Information'!B$11,A15+1,"")</f>
        <v>2034</v>
      </c>
      <c r="B16" s="168">
        <v>0</v>
      </c>
      <c r="E16" s="209">
        <v>3</v>
      </c>
      <c r="F16" s="187" t="s">
        <v>456</v>
      </c>
      <c r="G16" s="187"/>
      <c r="H16" s="187"/>
      <c r="I16" s="187"/>
      <c r="J16" s="187"/>
      <c r="K16" s="187"/>
      <c r="L16" s="187"/>
      <c r="M16" s="187"/>
      <c r="N16" s="187"/>
      <c r="O16" s="187"/>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69">
        <f>IF(A16&lt;'Project Information'!B$11,A16+1,"")</f>
        <v>2035</v>
      </c>
      <c r="B17" s="168">
        <v>0</v>
      </c>
      <c r="E17" s="209">
        <v>4</v>
      </c>
      <c r="F17" s="187" t="s">
        <v>457</v>
      </c>
      <c r="G17" s="187"/>
      <c r="H17" s="187"/>
      <c r="I17" s="187"/>
      <c r="J17" s="187"/>
      <c r="K17" s="187"/>
      <c r="L17" s="187"/>
      <c r="M17" s="187"/>
      <c r="N17" s="187"/>
      <c r="O17" s="18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2036</v>
      </c>
      <c r="B18" s="168">
        <v>0</v>
      </c>
      <c r="E18" s="209">
        <v>5</v>
      </c>
      <c r="F18" s="187" t="s">
        <v>458</v>
      </c>
      <c r="G18" s="187"/>
      <c r="H18" s="187"/>
      <c r="I18" s="187"/>
      <c r="J18" s="187"/>
      <c r="K18" s="187"/>
      <c r="L18" s="187"/>
      <c r="M18" s="187"/>
      <c r="N18" s="187"/>
      <c r="O18" s="187"/>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2037</v>
      </c>
      <c r="B19" s="168">
        <v>0</v>
      </c>
      <c r="E19" s="209">
        <v>6</v>
      </c>
      <c r="F19" s="187" t="s">
        <v>459</v>
      </c>
      <c r="G19" s="187"/>
      <c r="H19" s="187"/>
      <c r="I19" s="187"/>
      <c r="J19" s="187"/>
      <c r="K19" s="187"/>
      <c r="L19" s="187"/>
      <c r="M19" s="187"/>
      <c r="N19" s="187"/>
      <c r="O19" s="187"/>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2038</v>
      </c>
      <c r="B20" s="168">
        <v>0</v>
      </c>
      <c r="E20" s="209">
        <v>7</v>
      </c>
      <c r="F20" s="187" t="s">
        <v>460</v>
      </c>
      <c r="G20" s="187"/>
      <c r="H20" s="187"/>
      <c r="I20" s="187"/>
      <c r="J20" s="187"/>
      <c r="K20" s="187"/>
      <c r="L20" s="187"/>
      <c r="M20" s="187"/>
      <c r="N20" s="187"/>
      <c r="O20" s="187"/>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2039</v>
      </c>
      <c r="B21" s="168">
        <v>0</v>
      </c>
      <c r="E21" s="209">
        <v>8</v>
      </c>
      <c r="F21" s="187" t="s">
        <v>461</v>
      </c>
      <c r="G21" s="187"/>
      <c r="H21" s="187"/>
      <c r="I21" s="187"/>
      <c r="J21" s="187"/>
      <c r="K21" s="187"/>
      <c r="L21" s="187"/>
      <c r="M21" s="187"/>
      <c r="N21" s="187"/>
      <c r="O21" s="187"/>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2040</v>
      </c>
      <c r="B22" s="168">
        <v>0</v>
      </c>
      <c r="E22" s="209">
        <v>9</v>
      </c>
      <c r="F22" s="187" t="s">
        <v>462</v>
      </c>
      <c r="G22" s="187"/>
      <c r="H22" s="187"/>
      <c r="I22" s="187"/>
      <c r="J22" s="187"/>
      <c r="K22" s="187"/>
      <c r="L22" s="187"/>
      <c r="M22" s="187"/>
      <c r="N22" s="187"/>
      <c r="O22" s="187"/>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
      <c r="A23" s="169">
        <f>IF(A22&lt;'Project Information'!B$11,A22+1,"")</f>
        <v>2041</v>
      </c>
      <c r="B23" s="168">
        <v>0</v>
      </c>
      <c r="E23" s="209">
        <v>10</v>
      </c>
      <c r="F23" s="187" t="s">
        <v>463</v>
      </c>
      <c r="G23" s="187"/>
      <c r="H23" s="187"/>
      <c r="I23" s="187"/>
      <c r="J23" s="187"/>
      <c r="K23" s="187"/>
      <c r="L23" s="187"/>
      <c r="M23" s="187"/>
      <c r="N23" s="187"/>
      <c r="O23" s="187"/>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169">
        <f>IF(A23&lt;'Project Information'!B$11,A23+1,"")</f>
        <v>2042</v>
      </c>
      <c r="B24" s="168">
        <v>0</v>
      </c>
      <c r="E24" s="209">
        <v>11</v>
      </c>
      <c r="F24" s="187" t="s">
        <v>464</v>
      </c>
      <c r="G24" s="187"/>
      <c r="H24" s="187"/>
      <c r="I24" s="187"/>
      <c r="J24" s="187"/>
      <c r="K24" s="187"/>
      <c r="L24" s="187"/>
      <c r="M24" s="187"/>
      <c r="N24" s="187"/>
      <c r="O24" s="187"/>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2043</v>
      </c>
      <c r="B25" s="168">
        <v>0</v>
      </c>
      <c r="E25" s="209">
        <v>12</v>
      </c>
      <c r="F25" s="187" t="s">
        <v>465</v>
      </c>
      <c r="G25" s="187"/>
      <c r="H25" s="187"/>
      <c r="I25" s="187"/>
      <c r="J25" s="187"/>
      <c r="K25" s="187"/>
      <c r="L25" s="187"/>
      <c r="M25" s="187"/>
      <c r="N25" s="187"/>
      <c r="O25" s="187"/>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2044</v>
      </c>
      <c r="B26" s="168">
        <v>0</v>
      </c>
      <c r="E26" s="209">
        <v>13</v>
      </c>
      <c r="F26" s="187" t="s">
        <v>467</v>
      </c>
      <c r="G26" s="187"/>
      <c r="H26" s="187"/>
      <c r="I26" s="187"/>
      <c r="J26" s="187"/>
      <c r="K26" s="187"/>
      <c r="L26" s="187"/>
      <c r="M26" s="187"/>
      <c r="N26" s="187"/>
      <c r="O26" s="187"/>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2045</v>
      </c>
      <c r="B27" s="168">
        <v>0</v>
      </c>
      <c r="E27" s="209">
        <v>14</v>
      </c>
      <c r="F27" s="187" t="s">
        <v>466</v>
      </c>
      <c r="G27" s="187"/>
      <c r="H27" s="187"/>
      <c r="I27" s="187"/>
      <c r="J27" s="187"/>
      <c r="K27" s="187"/>
      <c r="L27" s="187"/>
      <c r="M27" s="187"/>
      <c r="N27" s="187"/>
      <c r="O27" s="18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f>IF(A27&lt;'Project Information'!B$11,A27+1,"")</f>
        <v>2046</v>
      </c>
      <c r="B28" s="168">
        <v>0</v>
      </c>
      <c r="E28" s="209"/>
      <c r="F28" s="187"/>
      <c r="G28" s="187"/>
      <c r="H28" s="187"/>
      <c r="I28" s="187"/>
      <c r="J28" s="187"/>
      <c r="K28" s="187"/>
      <c r="L28" s="187"/>
      <c r="M28" s="187"/>
      <c r="N28" s="187"/>
      <c r="O28" s="187"/>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f>IF(A28&lt;'Project Information'!B$11,A28+1,"")</f>
        <v>2047</v>
      </c>
      <c r="B29" s="168">
        <v>0</v>
      </c>
      <c r="E29" s="209"/>
      <c r="F29" s="187" t="s">
        <v>468</v>
      </c>
      <c r="G29" s="187"/>
      <c r="H29" s="187"/>
      <c r="I29" s="187"/>
      <c r="J29" s="187"/>
      <c r="K29" s="187"/>
      <c r="L29" s="187"/>
      <c r="M29" s="187"/>
      <c r="N29" s="187"/>
      <c r="O29" s="187"/>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f>IF(A29&lt;'Project Information'!B$11,A29+1,"")</f>
        <v>2048</v>
      </c>
      <c r="B30" s="168">
        <v>0</v>
      </c>
      <c r="E30" s="209"/>
      <c r="F30" s="243" t="s">
        <v>469</v>
      </c>
      <c r="G30" s="243"/>
      <c r="H30" s="243"/>
      <c r="I30" s="243"/>
      <c r="J30" s="243"/>
      <c r="K30" s="243"/>
      <c r="L30" s="243"/>
      <c r="M30" s="243"/>
      <c r="N30" s="243"/>
      <c r="O30" s="24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 thickBot="1" x14ac:dyDescent="0.35">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Z94"/>
  <sheetViews>
    <sheetView topLeftCell="A5" workbookViewId="0">
      <selection activeCell="B15" sqref="B15"/>
    </sheetView>
  </sheetViews>
  <sheetFormatPr defaultColWidth="9.109375" defaultRowHeight="14.4" x14ac:dyDescent="0.3"/>
  <cols>
    <col min="1" max="1" width="27.33203125" style="5" customWidth="1"/>
    <col min="2" max="2" width="40.6640625" style="5" customWidth="1"/>
    <col min="3" max="3" width="24.44140625" style="5" customWidth="1"/>
    <col min="4" max="16384" width="9.109375" style="5"/>
  </cols>
  <sheetData>
    <row r="1" spans="1:52" ht="20.399999999999999" thickBot="1" x14ac:dyDescent="0.45">
      <c r="A1" s="96" t="s">
        <v>13</v>
      </c>
    </row>
    <row r="2" spans="1:52" ht="15" thickTop="1" x14ac:dyDescent="0.3">
      <c r="A2" s="152" t="s">
        <v>245</v>
      </c>
      <c r="B2" s="152"/>
      <c r="C2" s="152"/>
      <c r="D2" s="152"/>
      <c r="E2" s="152"/>
      <c r="F2" s="152"/>
      <c r="G2" s="152"/>
      <c r="H2" s="152"/>
    </row>
    <row r="3" spans="1:52" x14ac:dyDescent="0.3">
      <c r="A3" s="5" t="s">
        <v>205</v>
      </c>
    </row>
    <row r="4" spans="1:52" x14ac:dyDescent="0.3">
      <c r="A4" s="153" t="s">
        <v>265</v>
      </c>
      <c r="B4" s="152"/>
      <c r="C4" s="152"/>
      <c r="D4" s="152"/>
      <c r="E4" s="152"/>
      <c r="F4" s="152"/>
      <c r="G4" s="152"/>
      <c r="H4" s="152"/>
      <c r="I4" s="152"/>
      <c r="J4" s="152"/>
      <c r="K4" s="152"/>
    </row>
    <row r="5" spans="1:52" x14ac:dyDescent="0.3">
      <c r="A5" s="38" t="s">
        <v>205</v>
      </c>
    </row>
    <row r="6" spans="1:52" x14ac:dyDescent="0.3">
      <c r="A6" s="97" t="s">
        <v>246</v>
      </c>
    </row>
    <row r="7" spans="1:52" ht="28.8" x14ac:dyDescent="0.3">
      <c r="A7" s="117" t="s">
        <v>135</v>
      </c>
      <c r="B7" s="117" t="s">
        <v>197</v>
      </c>
      <c r="C7" s="118" t="s">
        <v>323</v>
      </c>
    </row>
    <row r="8" spans="1:52" x14ac:dyDescent="0.3">
      <c r="A8" s="43" t="s">
        <v>198</v>
      </c>
      <c r="B8" s="43" t="str">
        <f>'Parameter Values'!B220</f>
        <v>Ages 20-74</v>
      </c>
      <c r="C8" s="44">
        <f>'Parameter Values'!C220</f>
        <v>7.63</v>
      </c>
    </row>
    <row r="9" spans="1:52" x14ac:dyDescent="0.3">
      <c r="A9" s="188" t="s">
        <v>199</v>
      </c>
      <c r="B9" s="43" t="str">
        <f>'Parameter Values'!B221</f>
        <v>Ages 20-64</v>
      </c>
      <c r="C9" s="189">
        <f>'Parameter Values'!C221</f>
        <v>6.8</v>
      </c>
    </row>
    <row r="10" spans="1:52" x14ac:dyDescent="0.3">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3">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x14ac:dyDescent="0.3">
      <c r="A12" s="38" t="s">
        <v>205</v>
      </c>
    </row>
    <row r="13" spans="1:52" ht="15" thickBot="1" x14ac:dyDescent="0.35">
      <c r="A13" s="97" t="s">
        <v>251</v>
      </c>
    </row>
    <row r="14" spans="1:52" x14ac:dyDescent="0.3">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3">
      <c r="A15" s="6">
        <f>'Project Information'!$B$9</f>
        <v>2029</v>
      </c>
      <c r="B15" s="168">
        <f>$F$17*0.89*$C$9*5</f>
        <v>209036.08000000002</v>
      </c>
      <c r="C15" s="5" t="s">
        <v>102</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69">
        <f>IF(A15&lt;'Project Information'!B$11,A15+1,"")</f>
        <v>2030</v>
      </c>
      <c r="B16" s="168">
        <f t="shared" ref="B16:B34" si="0">$F$17*0.89*$C$9*5</f>
        <v>209036.08000000002</v>
      </c>
      <c r="E16" s="13"/>
      <c r="F16" s="187" t="s">
        <v>436</v>
      </c>
      <c r="G16" s="187"/>
      <c r="H16" s="18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69">
        <f>IF(A16&lt;'Project Information'!B$11,A16+1,"")</f>
        <v>2031</v>
      </c>
      <c r="B17" s="168">
        <f t="shared" si="0"/>
        <v>209036.08000000002</v>
      </c>
      <c r="E17" s="13"/>
      <c r="F17" s="187">
        <f>'Vehicle Operating Cost Savings'!$R$33</f>
        <v>6908</v>
      </c>
      <c r="G17" s="187"/>
      <c r="H17" s="18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2032</v>
      </c>
      <c r="B18" s="168">
        <f t="shared" si="0"/>
        <v>209036.08000000002</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2033</v>
      </c>
      <c r="B19" s="168">
        <f t="shared" si="0"/>
        <v>209036.08000000002</v>
      </c>
      <c r="E19" s="13"/>
      <c r="F19" s="187" t="s">
        <v>439</v>
      </c>
      <c r="G19" s="187"/>
      <c r="H19" s="187"/>
      <c r="I19" s="187"/>
      <c r="J19" s="187"/>
      <c r="K19" s="187"/>
      <c r="L19" s="187"/>
      <c r="M19" s="187"/>
      <c r="N19" s="187"/>
      <c r="O19" s="187"/>
      <c r="P19" s="187"/>
      <c r="Q19" s="187"/>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2034</v>
      </c>
      <c r="B20" s="168">
        <f t="shared" si="0"/>
        <v>209036.08000000002</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2035</v>
      </c>
      <c r="B21" s="168">
        <f t="shared" si="0"/>
        <v>209036.08000000002</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2036</v>
      </c>
      <c r="B22" s="168">
        <f t="shared" si="0"/>
        <v>209036.08000000002</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
      <c r="A23" s="169">
        <f>IF(A22&lt;'Project Information'!B$11,A22+1,"")</f>
        <v>2037</v>
      </c>
      <c r="B23" s="168">
        <f t="shared" si="0"/>
        <v>209036.08000000002</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169">
        <f>IF(A23&lt;'Project Information'!B$11,A23+1,"")</f>
        <v>2038</v>
      </c>
      <c r="B24" s="168">
        <f t="shared" si="0"/>
        <v>209036.08000000002</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2039</v>
      </c>
      <c r="B25" s="168">
        <f t="shared" si="0"/>
        <v>209036.08000000002</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2040</v>
      </c>
      <c r="B26" s="168">
        <f t="shared" si="0"/>
        <v>209036.08000000002</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2041</v>
      </c>
      <c r="B27" s="168">
        <f t="shared" si="0"/>
        <v>209036.08000000002</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f>IF(A27&lt;'Project Information'!B$11,A27+1,"")</f>
        <v>2042</v>
      </c>
      <c r="B28" s="168">
        <f t="shared" si="0"/>
        <v>209036.08000000002</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f>IF(A28&lt;'Project Information'!B$11,A28+1,"")</f>
        <v>2043</v>
      </c>
      <c r="B29" s="168">
        <f t="shared" si="0"/>
        <v>209036.08000000002</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f>IF(A29&lt;'Project Information'!B$11,A29+1,"")</f>
        <v>2044</v>
      </c>
      <c r="B30" s="168">
        <f t="shared" si="0"/>
        <v>209036.08000000002</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f>IF(A30&lt;'Project Information'!B$11,A30+1,"")</f>
        <v>2045</v>
      </c>
      <c r="B31" s="168">
        <f t="shared" si="0"/>
        <v>209036.08000000002</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f>IF(A31&lt;'Project Information'!B$11,A31+1,"")</f>
        <v>2046</v>
      </c>
      <c r="B32" s="168">
        <f t="shared" si="0"/>
        <v>209036.08000000002</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f>IF(A32&lt;'Project Information'!B$11,A32+1,"")</f>
        <v>2047</v>
      </c>
      <c r="B33" s="168">
        <f t="shared" si="0"/>
        <v>209036.08000000002</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f>IF(A33&lt;'Project Information'!B$11,A33+1,"")</f>
        <v>2048</v>
      </c>
      <c r="B34" s="168">
        <f t="shared" si="0"/>
        <v>209036.08000000002</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A41" s="169" t="str">
        <f>IF(A40&lt;'Project Information'!B$11,A40+1,"")</f>
        <v/>
      </c>
      <c r="B41" s="168">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A42" s="169" t="str">
        <f>IF(A41&lt;'Project Information'!B$11,A41+1,"")</f>
        <v/>
      </c>
      <c r="B42" s="168">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A43" s="169" t="str">
        <f>IF(A42&lt;'Project Information'!B$11,A42+1,"")</f>
        <v/>
      </c>
      <c r="B43" s="168">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 thickBot="1" x14ac:dyDescent="0.35">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Z102"/>
  <sheetViews>
    <sheetView zoomScaleNormal="100" workbookViewId="0">
      <selection activeCell="F28" sqref="F28"/>
    </sheetView>
  </sheetViews>
  <sheetFormatPr defaultColWidth="9.109375" defaultRowHeight="14.4" x14ac:dyDescent="0.3"/>
  <cols>
    <col min="1" max="1" width="33.5546875" style="5" customWidth="1"/>
    <col min="2" max="2" width="30" style="5" customWidth="1"/>
    <col min="3" max="3" width="21.88671875" style="5" customWidth="1"/>
    <col min="4" max="4" width="17.88671875" style="5" customWidth="1"/>
    <col min="5" max="16384" width="9.109375" style="5"/>
  </cols>
  <sheetData>
    <row r="1" spans="1:11" ht="20.399999999999999" thickBot="1" x14ac:dyDescent="0.45">
      <c r="A1" s="96" t="s">
        <v>20</v>
      </c>
    </row>
    <row r="2" spans="1:11" ht="15" thickTop="1" x14ac:dyDescent="0.3">
      <c r="A2" s="152" t="s">
        <v>245</v>
      </c>
      <c r="B2" s="152"/>
      <c r="C2" s="152"/>
      <c r="D2" s="152"/>
      <c r="E2" s="152"/>
      <c r="F2" s="152"/>
      <c r="G2" s="152"/>
      <c r="H2" s="152"/>
    </row>
    <row r="3" spans="1:11" x14ac:dyDescent="0.3">
      <c r="A3" s="5" t="s">
        <v>205</v>
      </c>
    </row>
    <row r="4" spans="1:11" x14ac:dyDescent="0.3">
      <c r="A4" s="153" t="s">
        <v>265</v>
      </c>
      <c r="B4" s="152"/>
      <c r="C4" s="152"/>
      <c r="D4" s="152"/>
      <c r="E4" s="152"/>
      <c r="F4" s="152"/>
      <c r="G4" s="152"/>
      <c r="H4" s="152"/>
      <c r="I4" s="152"/>
      <c r="J4" s="152"/>
      <c r="K4" s="152"/>
    </row>
    <row r="5" spans="1:11" x14ac:dyDescent="0.3">
      <c r="A5" s="5" t="s">
        <v>205</v>
      </c>
    </row>
    <row r="6" spans="1:11" x14ac:dyDescent="0.3">
      <c r="A6" s="153" t="s">
        <v>333</v>
      </c>
      <c r="B6" s="152"/>
      <c r="C6" s="152"/>
      <c r="D6" s="152"/>
      <c r="E6" s="152"/>
      <c r="F6" s="152"/>
    </row>
    <row r="7" spans="1:11" x14ac:dyDescent="0.3">
      <c r="A7" s="153" t="s">
        <v>336</v>
      </c>
      <c r="B7" s="152"/>
      <c r="C7" s="152"/>
      <c r="D7" s="152"/>
      <c r="E7" s="152"/>
      <c r="F7" s="152"/>
      <c r="G7" s="152"/>
      <c r="H7" s="152"/>
      <c r="I7" s="152"/>
    </row>
    <row r="8" spans="1:11" x14ac:dyDescent="0.3">
      <c r="A8" s="153" t="s">
        <v>338</v>
      </c>
      <c r="B8" s="152"/>
      <c r="C8" s="152"/>
      <c r="D8" s="152"/>
      <c r="E8" s="152"/>
      <c r="F8" s="152"/>
    </row>
    <row r="9" spans="1:11" x14ac:dyDescent="0.3">
      <c r="A9" s="97" t="s">
        <v>318</v>
      </c>
    </row>
    <row r="10" spans="1:11" x14ac:dyDescent="0.3">
      <c r="A10" s="117" t="s">
        <v>319</v>
      </c>
      <c r="B10" s="107" t="s">
        <v>322</v>
      </c>
      <c r="C10" s="107" t="s">
        <v>321</v>
      </c>
      <c r="D10" s="107" t="s">
        <v>20</v>
      </c>
    </row>
    <row r="11" spans="1:11" x14ac:dyDescent="0.3">
      <c r="A11" s="156" t="s">
        <v>335</v>
      </c>
      <c r="B11" s="173">
        <f>SUM('Capital Costs'!B9:B23)+'Capital Costs'!A5</f>
        <v>29944319.000000004</v>
      </c>
      <c r="C11" s="23">
        <v>20</v>
      </c>
      <c r="D11" s="167">
        <f>IF(C11&gt;'Project Information'!$B$10,IFERROR(B11*((C11-'Project Information'!$B$10)/C11),0),0)</f>
        <v>0</v>
      </c>
    </row>
    <row r="12" spans="1:11" x14ac:dyDescent="0.3">
      <c r="A12" s="156" t="s">
        <v>320</v>
      </c>
      <c r="B12" s="166">
        <v>0</v>
      </c>
      <c r="C12" s="23">
        <v>0</v>
      </c>
      <c r="D12" s="167">
        <f>IF(C12&gt;'Project Information'!$B$10,IFERROR(B12*((C12-'Project Information'!$B$10)/C12),0),0)</f>
        <v>0</v>
      </c>
    </row>
    <row r="13" spans="1:11" x14ac:dyDescent="0.3">
      <c r="A13" s="156" t="s">
        <v>320</v>
      </c>
      <c r="B13" s="166">
        <v>0</v>
      </c>
      <c r="C13" s="23">
        <v>0</v>
      </c>
      <c r="D13" s="167">
        <f>IF(C13&gt;'Project Information'!$B$10,IFERROR(B13*((C13-'Project Information'!$B$10)/C13),0),0)</f>
        <v>0</v>
      </c>
    </row>
    <row r="14" spans="1:11" x14ac:dyDescent="0.3">
      <c r="A14" s="156" t="s">
        <v>320</v>
      </c>
      <c r="B14" s="166">
        <v>0</v>
      </c>
      <c r="C14" s="23">
        <v>0</v>
      </c>
      <c r="D14" s="167">
        <f>IF(C14&gt;'Project Information'!$B$10,IFERROR(B14*((C14-'Project Information'!$B$10)/C14),0),0)</f>
        <v>0</v>
      </c>
    </row>
    <row r="15" spans="1:11" x14ac:dyDescent="0.3">
      <c r="A15" s="156" t="s">
        <v>320</v>
      </c>
      <c r="B15" s="166">
        <v>0</v>
      </c>
      <c r="C15" s="23">
        <v>0</v>
      </c>
      <c r="D15" s="167">
        <f>IF(C15&gt;'Project Information'!$B$10,IFERROR(B15*((C15-'Project Information'!$B$10)/C15),0),0)</f>
        <v>0</v>
      </c>
    </row>
    <row r="16" spans="1:11" x14ac:dyDescent="0.3">
      <c r="A16" s="156" t="s">
        <v>320</v>
      </c>
      <c r="B16" s="166">
        <v>0</v>
      </c>
      <c r="C16" s="23">
        <v>0</v>
      </c>
      <c r="D16" s="167">
        <f>IF(C16&gt;'Project Information'!$B$10,IFERROR(B16*((C16-'Project Information'!$B$10)/C16),0),0)</f>
        <v>0</v>
      </c>
    </row>
    <row r="17" spans="1:52" x14ac:dyDescent="0.3">
      <c r="A17" s="158" t="s">
        <v>334</v>
      </c>
      <c r="B17" s="159"/>
      <c r="C17" s="160"/>
      <c r="D17" s="167">
        <f>SUM(D11:D16)</f>
        <v>0</v>
      </c>
    </row>
    <row r="18" spans="1:52" x14ac:dyDescent="0.3">
      <c r="A18" s="5" t="s">
        <v>205</v>
      </c>
    </row>
    <row r="19" spans="1:52" x14ac:dyDescent="0.3">
      <c r="A19" s="153" t="s">
        <v>361</v>
      </c>
      <c r="B19" s="153"/>
      <c r="C19" s="153"/>
      <c r="D19" s="153"/>
      <c r="E19" s="153"/>
      <c r="F19" s="153"/>
      <c r="G19" s="153"/>
    </row>
    <row r="20" spans="1:52" x14ac:dyDescent="0.3">
      <c r="A20" s="153" t="s">
        <v>339</v>
      </c>
      <c r="B20" s="153"/>
      <c r="C20" s="153"/>
      <c r="D20" s="153"/>
    </row>
    <row r="21" spans="1:52" ht="15" thickBot="1" x14ac:dyDescent="0.35">
      <c r="A21" s="97" t="s">
        <v>317</v>
      </c>
    </row>
    <row r="22" spans="1:52" x14ac:dyDescent="0.3">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3">
      <c r="A23" s="6">
        <f>'Project Information'!$B$9</f>
        <v>2029</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169">
        <f>IF(A23&lt;'Project Information'!B$11,A23+1,"")</f>
        <v>2030</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2031</v>
      </c>
      <c r="B25" s="26">
        <f>IF(A25='Project Information'!$B$6+'Project Information'!$B$8+'Project Information'!$B$10+('Project Information'!$B$7-'Project Information'!$B$6-1),$D$17,0)</f>
        <v>0</v>
      </c>
      <c r="E25" s="13"/>
      <c r="F25" s="284" t="s">
        <v>450</v>
      </c>
      <c r="G25" s="284"/>
      <c r="H25" s="284"/>
      <c r="I25" s="284"/>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2032</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2033</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f>IF(A27&lt;'Project Information'!B$11,A27+1,"")</f>
        <v>2034</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f>IF(A28&lt;'Project Information'!B$11,A28+1,"")</f>
        <v>2035</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f>IF(A29&lt;'Project Information'!B$11,A29+1,"")</f>
        <v>2036</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f>IF(A30&lt;'Project Information'!B$11,A30+1,"")</f>
        <v>2037</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f>IF(A31&lt;'Project Information'!B$11,A31+1,"")</f>
        <v>2038</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f>IF(A32&lt;'Project Information'!B$11,A32+1,"")</f>
        <v>2039</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f>IF(A33&lt;'Project Information'!B$11,A33+1,"")</f>
        <v>2040</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f>IF(A34&lt;'Project Information'!B$11,A34+1,"")</f>
        <v>2041</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f>IF(A35&lt;'Project Information'!B$11,A35+1,"")</f>
        <v>2042</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169">
        <f>IF(A36&lt;'Project Information'!B$11,A36+1,"")</f>
        <v>2043</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A38" s="169">
        <f>IF(A37&lt;'Project Information'!B$11,A37+1,"")</f>
        <v>2044</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A39" s="169">
        <f>IF(A38&lt;'Project Information'!B$11,A38+1,"")</f>
        <v>2045</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A40" s="169">
        <f>IF(A39&lt;'Project Information'!B$11,A39+1,"")</f>
        <v>2046</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A41" s="169">
        <f>IF(A40&lt;'Project Information'!B$11,A40+1,"")</f>
        <v>2047</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A42" s="169">
        <f>IF(A41&lt;'Project Information'!B$11,A41+1,"")</f>
        <v>2048</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A43" s="169"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A44" s="169"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A45" s="169"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A46" s="169"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A47" s="169"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A48" s="169"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3">
      <c r="A49" s="169"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3">
      <c r="A50" s="169"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3">
      <c r="A51" s="169"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3">
      <c r="A52" s="2" t="str">
        <f>IF(A51&lt;'Project Information'!B$11,A51+1,"")</f>
        <v/>
      </c>
      <c r="B52" s="170">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3">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3">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3">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3">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3">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3">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3">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3">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 thickBot="1" x14ac:dyDescent="0.35">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Z87"/>
  <sheetViews>
    <sheetView workbookViewId="0">
      <selection activeCell="F20" sqref="F20"/>
    </sheetView>
  </sheetViews>
  <sheetFormatPr defaultColWidth="9.109375" defaultRowHeight="14.4" x14ac:dyDescent="0.3"/>
  <cols>
    <col min="1" max="1" width="26.109375" style="5" customWidth="1"/>
    <col min="2" max="2" width="40.6640625" style="5" customWidth="1"/>
    <col min="3" max="5" width="9.109375" style="5"/>
    <col min="6" max="6" width="11.109375" style="5" bestFit="1" customWidth="1"/>
    <col min="7" max="16384" width="9.109375" style="5"/>
  </cols>
  <sheetData>
    <row r="1" spans="1:52" ht="20.399999999999999" thickBot="1" x14ac:dyDescent="0.45">
      <c r="A1" s="96" t="s">
        <v>15</v>
      </c>
    </row>
    <row r="2" spans="1:52" ht="15" thickTop="1" x14ac:dyDescent="0.3">
      <c r="A2" s="152" t="s">
        <v>239</v>
      </c>
      <c r="B2" s="152"/>
      <c r="C2" s="152"/>
      <c r="D2" s="152"/>
    </row>
    <row r="3" spans="1:52" x14ac:dyDescent="0.3">
      <c r="A3" s="5" t="s">
        <v>205</v>
      </c>
    </row>
    <row r="4" spans="1:52" x14ac:dyDescent="0.3">
      <c r="A4" s="153" t="s">
        <v>265</v>
      </c>
      <c r="B4" s="152"/>
      <c r="C4" s="152"/>
      <c r="D4" s="152"/>
      <c r="E4" s="152"/>
      <c r="F4" s="152"/>
      <c r="G4" s="152"/>
      <c r="H4" s="152"/>
      <c r="I4" s="152"/>
      <c r="J4" s="152"/>
      <c r="K4" s="152"/>
      <c r="L4" s="152"/>
      <c r="M4" s="152"/>
    </row>
    <row r="5" spans="1:52" x14ac:dyDescent="0.3">
      <c r="A5" s="5" t="s">
        <v>205</v>
      </c>
    </row>
    <row r="6" spans="1:52" ht="15" thickBot="1" x14ac:dyDescent="0.35">
      <c r="A6" s="97" t="s">
        <v>252</v>
      </c>
    </row>
    <row r="7" spans="1:52" x14ac:dyDescent="0.3">
      <c r="A7" s="107" t="s">
        <v>4</v>
      </c>
      <c r="B7" s="24" t="s">
        <v>449</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
      <c r="A8" s="6">
        <f>'Project Information'!$B$9</f>
        <v>2029</v>
      </c>
      <c r="B8" s="168">
        <f>$F$20</f>
        <v>35726419</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
      <c r="A9" s="169">
        <f>IF(A8&lt;'Project Information'!B$11,A8+1,"")</f>
        <v>2030</v>
      </c>
      <c r="B9" s="168">
        <f t="shared" ref="B9:B27" si="0">$F$20</f>
        <v>35726419</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
      <c r="A10" s="169">
        <f>IF(A9&lt;'Project Information'!B$11,A9+1,"")</f>
        <v>2031</v>
      </c>
      <c r="B10" s="168">
        <f t="shared" si="0"/>
        <v>35726419</v>
      </c>
      <c r="E10" s="13"/>
      <c r="F10" s="187" t="s">
        <v>436</v>
      </c>
      <c r="G10" s="187"/>
      <c r="H10" s="187"/>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
      <c r="A11" s="169">
        <f>IF(A10&lt;'Project Information'!B$11,A10+1,"")</f>
        <v>2032</v>
      </c>
      <c r="B11" s="168">
        <f t="shared" si="0"/>
        <v>35726419</v>
      </c>
      <c r="E11" s="13"/>
      <c r="F11" s="187">
        <f>'Vehicle Operating Cost Savings'!$R$33</f>
        <v>6908</v>
      </c>
      <c r="G11" s="187"/>
      <c r="H11" s="187"/>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
      <c r="A12" s="169">
        <f>IF(A11&lt;'Project Information'!B$11,A11+1,"")</f>
        <v>2033</v>
      </c>
      <c r="B12" s="168">
        <f t="shared" si="0"/>
        <v>35726419</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69">
        <f>IF(A12&lt;'Project Information'!B$11,A12+1,"")</f>
        <v>2034</v>
      </c>
      <c r="B13" s="168">
        <f t="shared" si="0"/>
        <v>35726419</v>
      </c>
      <c r="E13" s="13"/>
      <c r="F13" s="187" t="s">
        <v>433</v>
      </c>
      <c r="G13" s="187"/>
      <c r="H13" s="187"/>
      <c r="I13" s="187"/>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69">
        <f>IF(A13&lt;'Project Information'!B$11,A13+1,"")</f>
        <v>2035</v>
      </c>
      <c r="B14" s="168">
        <f t="shared" si="0"/>
        <v>35726419</v>
      </c>
      <c r="E14" s="13"/>
      <c r="F14" s="187">
        <f>'Vehicle Operating Cost Savings'!$Q$31</f>
        <v>15</v>
      </c>
      <c r="G14" s="187"/>
      <c r="H14" s="187"/>
      <c r="I14" s="187"/>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
      <c r="A15" s="169">
        <f>IF(A14&lt;'Project Information'!B$11,A14+1,"")</f>
        <v>2036</v>
      </c>
      <c r="B15" s="168">
        <f t="shared" si="0"/>
        <v>35726419</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69">
        <f>IF(A15&lt;'Project Information'!B$11,A15+1,"")</f>
        <v>2037</v>
      </c>
      <c r="B16" s="168">
        <f t="shared" si="0"/>
        <v>35726419</v>
      </c>
      <c r="E16" s="13"/>
      <c r="F16" s="187" t="s">
        <v>442</v>
      </c>
      <c r="G16" s="187"/>
      <c r="H16" s="18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69">
        <f>IF(A16&lt;'Project Information'!B$11,A16+1,"")</f>
        <v>2038</v>
      </c>
      <c r="B17" s="168">
        <f t="shared" si="0"/>
        <v>35726419</v>
      </c>
      <c r="E17" s="13"/>
      <c r="F17" s="187">
        <f>F11-F14</f>
        <v>6893</v>
      </c>
      <c r="G17" s="187"/>
      <c r="H17" s="18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2039</v>
      </c>
      <c r="B18" s="168">
        <f t="shared" si="0"/>
        <v>35726419</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2040</v>
      </c>
      <c r="B19" s="168">
        <f t="shared" si="0"/>
        <v>35726419</v>
      </c>
      <c r="E19" s="13"/>
      <c r="F19" s="273" t="s">
        <v>443</v>
      </c>
      <c r="G19" s="273"/>
      <c r="H19" s="273"/>
      <c r="I19" s="273"/>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2041</v>
      </c>
      <c r="B20" s="168">
        <f t="shared" si="0"/>
        <v>35726419</v>
      </c>
      <c r="E20" s="13"/>
      <c r="F20" s="276">
        <f>F17*10*1.42*365</f>
        <v>35726419</v>
      </c>
      <c r="G20" s="187"/>
      <c r="H20" s="187"/>
      <c r="I20" s="187"/>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2042</v>
      </c>
      <c r="B21" s="168">
        <f t="shared" si="0"/>
        <v>35726419</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2043</v>
      </c>
      <c r="B22" s="168">
        <f t="shared" si="0"/>
        <v>35726419</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ht="15.6" x14ac:dyDescent="0.3">
      <c r="A23" s="169">
        <f>IF(A22&lt;'Project Information'!B$11,A22+1,"")</f>
        <v>2044</v>
      </c>
      <c r="B23" s="168">
        <f t="shared" si="0"/>
        <v>35726419</v>
      </c>
      <c r="E23" s="13"/>
      <c r="F23" s="255" t="s">
        <v>444</v>
      </c>
      <c r="G23" s="187"/>
      <c r="H23" s="187"/>
      <c r="I23" s="187"/>
      <c r="J23" s="187"/>
      <c r="K23" s="187"/>
      <c r="L23" s="187"/>
      <c r="M23" s="187"/>
      <c r="N23" s="187"/>
      <c r="O23" s="187"/>
      <c r="P23" s="187"/>
      <c r="Q23" s="187"/>
      <c r="R23" s="187"/>
      <c r="S23" s="187"/>
      <c r="T23" s="187"/>
      <c r="U23"/>
      <c r="V23"/>
      <c r="W23"/>
      <c r="X23"/>
      <c r="Y23"/>
      <c r="Z23"/>
      <c r="AA23"/>
      <c r="AB23"/>
      <c r="AC23"/>
      <c r="AD23"/>
      <c r="AE23"/>
      <c r="AF23"/>
      <c r="AG23"/>
      <c r="AH23"/>
      <c r="AI23"/>
      <c r="AJ23"/>
      <c r="AK23"/>
      <c r="AL23"/>
      <c r="AM23"/>
      <c r="AN23"/>
      <c r="AO23"/>
      <c r="AP23"/>
      <c r="AQ23"/>
      <c r="AR23"/>
      <c r="AS23"/>
      <c r="AT23"/>
      <c r="AU23"/>
      <c r="AV23"/>
      <c r="AW23"/>
      <c r="AX23"/>
      <c r="AY23"/>
      <c r="AZ23" s="14"/>
    </row>
    <row r="24" spans="1:52" ht="15.6" x14ac:dyDescent="0.3">
      <c r="A24" s="169">
        <f>IF(A23&lt;'Project Information'!B$11,A23+1,"")</f>
        <v>2045</v>
      </c>
      <c r="B24" s="168">
        <f t="shared" si="0"/>
        <v>35726419</v>
      </c>
      <c r="E24" s="13"/>
      <c r="F24" s="255" t="s">
        <v>448</v>
      </c>
      <c r="G24" s="187"/>
      <c r="H24" s="187"/>
      <c r="I24" s="187"/>
      <c r="J24" s="187"/>
      <c r="K24" s="187"/>
      <c r="L24" s="187"/>
      <c r="M24" s="187"/>
      <c r="N24" s="187"/>
      <c r="O24" s="187"/>
      <c r="P24" s="187"/>
      <c r="Q24" s="187"/>
      <c r="R24" s="187"/>
      <c r="S24" s="187"/>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2046</v>
      </c>
      <c r="B25" s="168">
        <f t="shared" si="0"/>
        <v>35726419</v>
      </c>
      <c r="E25" s="13"/>
      <c r="F25" s="187" t="s">
        <v>445</v>
      </c>
      <c r="G25" s="187"/>
      <c r="H25" s="187"/>
      <c r="I25" s="187"/>
      <c r="J25" s="187"/>
      <c r="K25" s="187"/>
      <c r="L25" s="187"/>
      <c r="M25" s="187"/>
      <c r="N25" s="187"/>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2047</v>
      </c>
      <c r="B26" s="168">
        <f t="shared" si="0"/>
        <v>35726419</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2048</v>
      </c>
      <c r="B27" s="168">
        <f t="shared" si="0"/>
        <v>35726419</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ht="15" thickBot="1" x14ac:dyDescent="0.35">
      <c r="E83" s="13"/>
      <c r="F83" s="16"/>
      <c r="G83" s="16"/>
      <c r="H83" s="16"/>
      <c r="I83" s="16"/>
      <c r="J83" s="16"/>
      <c r="K83" s="16"/>
      <c r="L83" s="16"/>
      <c r="M83" s="16"/>
      <c r="N83" s="16"/>
      <c r="O83" s="16"/>
      <c r="P83" s="16"/>
      <c r="Q83" s="16"/>
      <c r="R83" s="16"/>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35">
      <c r="E87" s="15"/>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Z87"/>
  <sheetViews>
    <sheetView workbookViewId="0">
      <selection activeCell="F13" sqref="F13"/>
    </sheetView>
  </sheetViews>
  <sheetFormatPr defaultColWidth="9.109375" defaultRowHeight="14.4" x14ac:dyDescent="0.3"/>
  <cols>
    <col min="1" max="1" width="32.88671875" style="5" customWidth="1"/>
    <col min="2" max="2" width="40.6640625" style="5" customWidth="1"/>
    <col min="3" max="5" width="9.109375" style="5"/>
    <col min="6" max="6" width="11.109375" style="5" bestFit="1" customWidth="1"/>
    <col min="7" max="16384" width="9.109375" style="5"/>
  </cols>
  <sheetData>
    <row r="1" spans="1:52" ht="20.399999999999999" thickBot="1" x14ac:dyDescent="0.45">
      <c r="A1" s="96" t="s">
        <v>16</v>
      </c>
    </row>
    <row r="2" spans="1:52" ht="15" thickTop="1" x14ac:dyDescent="0.3">
      <c r="A2" s="152" t="s">
        <v>239</v>
      </c>
      <c r="B2" s="152"/>
      <c r="C2" s="152"/>
    </row>
    <row r="3" spans="1:52" x14ac:dyDescent="0.3">
      <c r="A3" s="5" t="s">
        <v>205</v>
      </c>
    </row>
    <row r="4" spans="1:52" x14ac:dyDescent="0.3">
      <c r="A4" s="153" t="s">
        <v>265</v>
      </c>
      <c r="B4" s="152"/>
      <c r="C4" s="152"/>
      <c r="D4" s="152"/>
      <c r="E4" s="152"/>
      <c r="F4" s="152"/>
      <c r="G4" s="152"/>
      <c r="H4" s="152"/>
      <c r="I4" s="152"/>
      <c r="J4" s="152"/>
      <c r="K4" s="152"/>
      <c r="L4" s="152"/>
    </row>
    <row r="5" spans="1:52" x14ac:dyDescent="0.3">
      <c r="A5" s="5" t="s">
        <v>205</v>
      </c>
    </row>
    <row r="6" spans="1:52" ht="15" thickBot="1" x14ac:dyDescent="0.35">
      <c r="A6" s="97" t="s">
        <v>252</v>
      </c>
    </row>
    <row r="7" spans="1:52" x14ac:dyDescent="0.3">
      <c r="A7" s="107" t="s">
        <v>4</v>
      </c>
      <c r="B7" s="24" t="s">
        <v>478</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
      <c r="A8" s="6">
        <f>'Project Information'!$B$9</f>
        <v>2029</v>
      </c>
      <c r="B8" s="168">
        <f>$F$10</f>
        <v>35726419</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
      <c r="A9" s="169">
        <f>IF(A8&lt;'Project Information'!B$11,A8+1,"")</f>
        <v>2030</v>
      </c>
      <c r="B9" s="168">
        <f t="shared" ref="B9:B27" si="0">$F$10</f>
        <v>35726419</v>
      </c>
      <c r="E9" s="13"/>
      <c r="F9" s="187" t="s">
        <v>477</v>
      </c>
      <c r="G9" s="187"/>
      <c r="H9" s="187"/>
      <c r="I9" s="187"/>
      <c r="J9" s="187"/>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
      <c r="A10" s="169">
        <f>IF(A9&lt;'Project Information'!B$11,A9+1,"")</f>
        <v>2031</v>
      </c>
      <c r="B10" s="168">
        <f t="shared" si="0"/>
        <v>35726419</v>
      </c>
      <c r="E10" s="13"/>
      <c r="F10" s="280">
        <f>'Other 1-CYCLING RECREATION'!F20</f>
        <v>35726419</v>
      </c>
      <c r="G10" s="187"/>
      <c r="H10" s="187"/>
      <c r="I10" s="187"/>
      <c r="J10" s="187"/>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
      <c r="A11" s="169">
        <f>IF(A10&lt;'Project Information'!B$11,A10+1,"")</f>
        <v>2032</v>
      </c>
      <c r="B11" s="168">
        <f t="shared" si="0"/>
        <v>35726419</v>
      </c>
      <c r="E11" s="13"/>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
      <c r="A12" s="169">
        <f>IF(A11&lt;'Project Information'!B$11,A11+1,"")</f>
        <v>2033</v>
      </c>
      <c r="B12" s="168">
        <f t="shared" si="0"/>
        <v>35726419</v>
      </c>
      <c r="E12" s="13"/>
      <c r="F12" s="187" t="s">
        <v>479</v>
      </c>
      <c r="G12" s="187"/>
      <c r="H12" s="187"/>
      <c r="I12" s="187"/>
      <c r="J12" s="187"/>
      <c r="K12" s="187"/>
      <c r="L12" s="187"/>
      <c r="M12" s="187"/>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69">
        <f>IF(A12&lt;'Project Information'!B$11,A12+1,"")</f>
        <v>2034</v>
      </c>
      <c r="B13" s="168">
        <f t="shared" si="0"/>
        <v>35726419</v>
      </c>
      <c r="E13" s="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69">
        <f>IF(A13&lt;'Project Information'!B$11,A13+1,"")</f>
        <v>2035</v>
      </c>
      <c r="B14" s="168">
        <f t="shared" si="0"/>
        <v>35726419</v>
      </c>
      <c r="E14" s="13"/>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
      <c r="A15" s="169">
        <f>IF(A14&lt;'Project Information'!B$11,A14+1,"")</f>
        <v>2036</v>
      </c>
      <c r="B15" s="168">
        <f t="shared" si="0"/>
        <v>35726419</v>
      </c>
      <c r="E15" s="13"/>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69">
        <f>IF(A15&lt;'Project Information'!B$11,A15+1,"")</f>
        <v>2037</v>
      </c>
      <c r="B16" s="168">
        <f t="shared" si="0"/>
        <v>35726419</v>
      </c>
      <c r="E16" s="13"/>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69">
        <f>IF(A16&lt;'Project Information'!B$11,A16+1,"")</f>
        <v>2038</v>
      </c>
      <c r="B17" s="168">
        <f t="shared" si="0"/>
        <v>35726419</v>
      </c>
      <c r="E17" s="13"/>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2039</v>
      </c>
      <c r="B18" s="168">
        <f t="shared" si="0"/>
        <v>35726419</v>
      </c>
      <c r="E18" s="13"/>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2040</v>
      </c>
      <c r="B19" s="168">
        <f t="shared" si="0"/>
        <v>35726419</v>
      </c>
      <c r="E19" s="13"/>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2041</v>
      </c>
      <c r="B20" s="168">
        <f t="shared" si="0"/>
        <v>35726419</v>
      </c>
      <c r="E20" s="13"/>
      <c r="F20" s="36"/>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2042</v>
      </c>
      <c r="B21" s="168">
        <f t="shared" si="0"/>
        <v>35726419</v>
      </c>
      <c r="E21" s="13"/>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2043</v>
      </c>
      <c r="B22" s="168">
        <f t="shared" si="0"/>
        <v>35726419</v>
      </c>
      <c r="E22" s="13"/>
      <c r="U22"/>
      <c r="V22"/>
      <c r="W22"/>
      <c r="X22"/>
      <c r="Y22"/>
      <c r="Z22"/>
      <c r="AA22"/>
      <c r="AB22"/>
      <c r="AC22"/>
      <c r="AD22"/>
      <c r="AE22"/>
      <c r="AF22"/>
      <c r="AG22"/>
      <c r="AH22"/>
      <c r="AI22"/>
      <c r="AJ22"/>
      <c r="AK22"/>
      <c r="AL22"/>
      <c r="AM22"/>
      <c r="AN22"/>
      <c r="AO22"/>
      <c r="AP22"/>
      <c r="AQ22"/>
      <c r="AR22"/>
      <c r="AS22"/>
      <c r="AT22"/>
      <c r="AU22"/>
      <c r="AV22"/>
      <c r="AW22"/>
      <c r="AX22"/>
      <c r="AY22"/>
      <c r="AZ22" s="14"/>
    </row>
    <row r="23" spans="1:52" ht="15.6" x14ac:dyDescent="0.3">
      <c r="A23" s="169">
        <f>IF(A22&lt;'Project Information'!B$11,A22+1,"")</f>
        <v>2044</v>
      </c>
      <c r="B23" s="168">
        <f t="shared" si="0"/>
        <v>35726419</v>
      </c>
      <c r="E23" s="13"/>
      <c r="F23" s="279"/>
      <c r="U23"/>
      <c r="V23"/>
      <c r="W23"/>
      <c r="X23"/>
      <c r="Y23"/>
      <c r="Z23"/>
      <c r="AA23"/>
      <c r="AB23"/>
      <c r="AC23"/>
      <c r="AD23"/>
      <c r="AE23"/>
      <c r="AF23"/>
      <c r="AG23"/>
      <c r="AH23"/>
      <c r="AI23"/>
      <c r="AJ23"/>
      <c r="AK23"/>
      <c r="AL23"/>
      <c r="AM23"/>
      <c r="AN23"/>
      <c r="AO23"/>
      <c r="AP23"/>
      <c r="AQ23"/>
      <c r="AR23"/>
      <c r="AS23"/>
      <c r="AT23"/>
      <c r="AU23"/>
      <c r="AV23"/>
      <c r="AW23"/>
      <c r="AX23"/>
      <c r="AY23"/>
      <c r="AZ23" s="14"/>
    </row>
    <row r="24" spans="1:52" ht="15.6" x14ac:dyDescent="0.3">
      <c r="A24" s="169">
        <f>IF(A23&lt;'Project Information'!B$11,A23+1,"")</f>
        <v>2045</v>
      </c>
      <c r="B24" s="168">
        <f t="shared" si="0"/>
        <v>35726419</v>
      </c>
      <c r="E24" s="13"/>
      <c r="F24" s="279"/>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2046</v>
      </c>
      <c r="B25" s="168">
        <f t="shared" si="0"/>
        <v>35726419</v>
      </c>
      <c r="E25" s="13"/>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2047</v>
      </c>
      <c r="B26" s="168">
        <f t="shared" si="0"/>
        <v>35726419</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2048</v>
      </c>
      <c r="B27" s="168">
        <f t="shared" si="0"/>
        <v>35726419</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35">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Z87"/>
  <sheetViews>
    <sheetView topLeftCell="A5" workbookViewId="0">
      <selection activeCell="F13" sqref="F13"/>
    </sheetView>
  </sheetViews>
  <sheetFormatPr defaultColWidth="9.109375" defaultRowHeight="14.4" x14ac:dyDescent="0.3"/>
  <cols>
    <col min="1" max="1" width="28" style="5" customWidth="1"/>
    <col min="2" max="2" width="40.6640625" style="5" customWidth="1"/>
    <col min="3" max="16384" width="9.109375" style="5"/>
  </cols>
  <sheetData>
    <row r="1" spans="1:52" ht="20.399999999999999" thickBot="1" x14ac:dyDescent="0.45">
      <c r="A1" s="96" t="s">
        <v>17</v>
      </c>
    </row>
    <row r="2" spans="1:52" ht="15" thickTop="1" x14ac:dyDescent="0.3">
      <c r="A2" s="152" t="s">
        <v>239</v>
      </c>
      <c r="B2" s="152"/>
      <c r="C2" s="152"/>
    </row>
    <row r="3" spans="1:52" x14ac:dyDescent="0.3">
      <c r="A3" s="5" t="s">
        <v>205</v>
      </c>
    </row>
    <row r="4" spans="1:52" x14ac:dyDescent="0.3">
      <c r="A4" s="153" t="s">
        <v>265</v>
      </c>
      <c r="B4" s="152"/>
      <c r="C4" s="152"/>
      <c r="D4" s="152"/>
      <c r="E4" s="152"/>
      <c r="F4" s="152"/>
      <c r="G4" s="152"/>
      <c r="H4" s="152"/>
      <c r="I4" s="152"/>
      <c r="J4" s="152"/>
      <c r="K4" s="152"/>
      <c r="L4" s="152"/>
    </row>
    <row r="5" spans="1:52" x14ac:dyDescent="0.3">
      <c r="A5" s="5" t="s">
        <v>205</v>
      </c>
    </row>
    <row r="6" spans="1:52" ht="15" thickBot="1" x14ac:dyDescent="0.35">
      <c r="A6" s="97" t="s">
        <v>252</v>
      </c>
    </row>
    <row r="7" spans="1:52" x14ac:dyDescent="0.3">
      <c r="A7" s="107" t="s">
        <v>4</v>
      </c>
      <c r="B7" s="24" t="s">
        <v>475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
      <c r="A8" s="6">
        <f>'Project Information'!$B$9</f>
        <v>2029</v>
      </c>
      <c r="B8" s="168">
        <f>$F$13</f>
        <v>211466.40000000002</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ht="15.6" x14ac:dyDescent="0.3">
      <c r="A9" s="169">
        <f>IF(A8&lt;'Project Information'!B$11,A8+1,"")</f>
        <v>2030</v>
      </c>
      <c r="B9" s="168">
        <f t="shared" ref="B9:B27" si="0">$F$13</f>
        <v>211466.40000000002</v>
      </c>
      <c r="E9" s="13"/>
      <c r="F9" s="285" t="s">
        <v>470</v>
      </c>
      <c r="G9" s="187"/>
      <c r="H9" s="187"/>
      <c r="I9" s="187"/>
      <c r="J9" s="187"/>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ht="15.6" x14ac:dyDescent="0.3">
      <c r="A10" s="169">
        <f>IF(A9&lt;'Project Information'!B$11,A9+1,"")</f>
        <v>2031</v>
      </c>
      <c r="B10" s="168">
        <f t="shared" si="0"/>
        <v>211466.40000000002</v>
      </c>
      <c r="E10" s="13"/>
      <c r="F10" s="255">
        <f>SUM('Vehicle Operating Cost Savings'!Q30:Q31)</f>
        <v>73</v>
      </c>
      <c r="G10" s="187"/>
      <c r="H10" s="187"/>
      <c r="I10" s="187"/>
      <c r="J10" s="187"/>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
      <c r="A11" s="169">
        <f>IF(A10&lt;'Project Information'!B$11,A10+1,"")</f>
        <v>2032</v>
      </c>
      <c r="B11" s="168">
        <f t="shared" si="0"/>
        <v>211466.40000000002</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ht="15.6" x14ac:dyDescent="0.3">
      <c r="A12" s="169">
        <f>IF(A11&lt;'Project Information'!B$11,A11+1,"")</f>
        <v>2033</v>
      </c>
      <c r="B12" s="168">
        <f t="shared" si="0"/>
        <v>211466.40000000002</v>
      </c>
      <c r="E12" s="13"/>
      <c r="F12" s="285" t="s">
        <v>471</v>
      </c>
      <c r="G12" s="187"/>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69">
        <f>IF(A12&lt;'Project Information'!B$11,A12+1,"")</f>
        <v>2034</v>
      </c>
      <c r="B13" s="168">
        <f t="shared" si="0"/>
        <v>211466.40000000002</v>
      </c>
      <c r="E13" s="13"/>
      <c r="F13" s="283">
        <f>F10*4.08*50*5*2*1.42</f>
        <v>211466.40000000002</v>
      </c>
      <c r="G13" s="187" t="s">
        <v>102</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69">
        <f>IF(A13&lt;'Project Information'!B$11,A13+1,"")</f>
        <v>2035</v>
      </c>
      <c r="B14" s="168">
        <f t="shared" si="0"/>
        <v>211466.40000000002</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ht="15.6" x14ac:dyDescent="0.3">
      <c r="A15" s="169">
        <f>IF(A14&lt;'Project Information'!B$11,A14+1,"")</f>
        <v>2036</v>
      </c>
      <c r="B15" s="168">
        <f t="shared" si="0"/>
        <v>211466.40000000002</v>
      </c>
      <c r="E15" s="13"/>
      <c r="F15" s="255" t="s">
        <v>474</v>
      </c>
      <c r="G15" s="187"/>
      <c r="H15" s="187"/>
      <c r="I15" s="187"/>
      <c r="J15" s="187"/>
      <c r="K15" s="187"/>
      <c r="L15" s="187"/>
      <c r="M15" s="187"/>
      <c r="N15" s="187"/>
      <c r="O15" s="187"/>
      <c r="P15" s="187"/>
      <c r="Q15" s="187"/>
      <c r="R15" s="187"/>
      <c r="S15" s="187"/>
      <c r="T15" s="187"/>
      <c r="U15" s="187"/>
      <c r="V15" s="187"/>
      <c r="W15"/>
      <c r="X15"/>
      <c r="Y15"/>
      <c r="Z15"/>
      <c r="AA15"/>
      <c r="AB15"/>
      <c r="AC15"/>
      <c r="AD15"/>
      <c r="AE15"/>
      <c r="AF15"/>
      <c r="AG15"/>
      <c r="AH15"/>
      <c r="AI15"/>
      <c r="AJ15"/>
      <c r="AK15"/>
      <c r="AL15"/>
      <c r="AM15"/>
      <c r="AN15"/>
      <c r="AO15"/>
      <c r="AP15"/>
      <c r="AQ15"/>
      <c r="AR15"/>
      <c r="AS15"/>
      <c r="AT15"/>
      <c r="AU15"/>
      <c r="AV15"/>
      <c r="AW15"/>
      <c r="AX15"/>
      <c r="AY15"/>
      <c r="AZ15" s="14"/>
    </row>
    <row r="16" spans="1:52" ht="15.6" x14ac:dyDescent="0.3">
      <c r="A16" s="169">
        <f>IF(A15&lt;'Project Information'!B$11,A15+1,"")</f>
        <v>2037</v>
      </c>
      <c r="B16" s="168">
        <f t="shared" si="0"/>
        <v>211466.40000000002</v>
      </c>
      <c r="E16" s="13"/>
      <c r="F16" s="255" t="s">
        <v>472</v>
      </c>
      <c r="G16" s="187"/>
      <c r="H16" s="187"/>
      <c r="I16" s="187"/>
      <c r="J16" s="187"/>
      <c r="K16" s="187"/>
      <c r="L16" s="187"/>
      <c r="M16" s="187"/>
      <c r="N16" s="187"/>
      <c r="O16" s="187"/>
      <c r="P16" s="187"/>
      <c r="Q16" s="187"/>
      <c r="R16" s="187"/>
      <c r="S16" s="187"/>
      <c r="T16" s="187"/>
      <c r="U16" s="187"/>
      <c r="V16" s="187"/>
      <c r="W16"/>
      <c r="X16"/>
      <c r="Y16"/>
      <c r="Z16"/>
      <c r="AA16"/>
      <c r="AB16"/>
      <c r="AC16"/>
      <c r="AD16"/>
      <c r="AE16"/>
      <c r="AF16"/>
      <c r="AG16"/>
      <c r="AH16"/>
      <c r="AI16"/>
      <c r="AJ16"/>
      <c r="AK16"/>
      <c r="AL16"/>
      <c r="AM16"/>
      <c r="AN16"/>
      <c r="AO16"/>
      <c r="AP16"/>
      <c r="AQ16"/>
      <c r="AR16"/>
      <c r="AS16"/>
      <c r="AT16"/>
      <c r="AU16"/>
      <c r="AV16"/>
      <c r="AW16"/>
      <c r="AX16"/>
      <c r="AY16"/>
      <c r="AZ16" s="14"/>
    </row>
    <row r="17" spans="1:52" ht="15.6" x14ac:dyDescent="0.3">
      <c r="A17" s="169">
        <f>IF(A16&lt;'Project Information'!B$11,A16+1,"")</f>
        <v>2038</v>
      </c>
      <c r="B17" s="168">
        <f t="shared" si="0"/>
        <v>211466.40000000002</v>
      </c>
      <c r="E17" s="13"/>
      <c r="F17" s="255" t="s">
        <v>473</v>
      </c>
      <c r="G17" s="187"/>
      <c r="H17" s="187"/>
      <c r="I17" s="187"/>
      <c r="J17" s="187"/>
      <c r="K17" s="187"/>
      <c r="L17" s="187"/>
      <c r="M17" s="187"/>
      <c r="N17" s="187"/>
      <c r="O17" s="187"/>
      <c r="P17" s="187"/>
      <c r="Q17" s="187"/>
      <c r="R17" s="187"/>
      <c r="S17" s="187"/>
      <c r="T17" s="187"/>
      <c r="U17" s="187"/>
      <c r="V17" s="18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2039</v>
      </c>
      <c r="B18" s="168">
        <f t="shared" si="0"/>
        <v>211466.40000000002</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2040</v>
      </c>
      <c r="B19" s="168">
        <f t="shared" si="0"/>
        <v>211466.40000000002</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2041</v>
      </c>
      <c r="B20" s="168">
        <f t="shared" si="0"/>
        <v>211466.40000000002</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2042</v>
      </c>
      <c r="B21" s="168">
        <f t="shared" si="0"/>
        <v>211466.40000000002</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2043</v>
      </c>
      <c r="B22" s="168">
        <f t="shared" si="0"/>
        <v>211466.40000000002</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
      <c r="A23" s="169">
        <f>IF(A22&lt;'Project Information'!B$11,A22+1,"")</f>
        <v>2044</v>
      </c>
      <c r="B23" s="168">
        <f t="shared" si="0"/>
        <v>211466.40000000002</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169">
        <f>IF(A23&lt;'Project Information'!B$11,A23+1,"")</f>
        <v>2045</v>
      </c>
      <c r="B24" s="168">
        <f t="shared" si="0"/>
        <v>211466.40000000002</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2046</v>
      </c>
      <c r="B25" s="168">
        <f t="shared" si="0"/>
        <v>211466.40000000002</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2047</v>
      </c>
      <c r="B26" s="168">
        <f t="shared" si="0"/>
        <v>211466.40000000002</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2048</v>
      </c>
      <c r="B27" s="168">
        <f t="shared" si="0"/>
        <v>211466.40000000002</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35">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Z91"/>
  <sheetViews>
    <sheetView zoomScaleNormal="100" workbookViewId="0">
      <selection activeCell="G30" sqref="G30"/>
    </sheetView>
  </sheetViews>
  <sheetFormatPr defaultColWidth="9.109375" defaultRowHeight="14.4" x14ac:dyDescent="0.3"/>
  <cols>
    <col min="1" max="1" width="40.88671875" style="5" customWidth="1"/>
    <col min="2" max="2" width="40.6640625" style="5" customWidth="1"/>
    <col min="3" max="16384" width="9.109375" style="5"/>
  </cols>
  <sheetData>
    <row r="1" spans="1:52" ht="20.399999999999999" thickBot="1" x14ac:dyDescent="0.45">
      <c r="A1" s="96" t="s">
        <v>18</v>
      </c>
    </row>
    <row r="2" spans="1:52" ht="15" thickTop="1" x14ac:dyDescent="0.3">
      <c r="A2" s="152" t="s">
        <v>240</v>
      </c>
      <c r="B2" s="152"/>
      <c r="C2" s="152"/>
      <c r="D2" s="152"/>
      <c r="E2" s="152"/>
      <c r="F2" s="152"/>
      <c r="G2" s="152"/>
    </row>
    <row r="3" spans="1:52" x14ac:dyDescent="0.3">
      <c r="A3" s="152" t="s">
        <v>242</v>
      </c>
      <c r="B3" s="152"/>
      <c r="C3" s="152"/>
    </row>
    <row r="4" spans="1:52" x14ac:dyDescent="0.3">
      <c r="A4" s="152" t="s">
        <v>241</v>
      </c>
      <c r="B4" s="152"/>
      <c r="C4" s="152"/>
      <c r="D4" s="152"/>
      <c r="E4" s="152"/>
      <c r="F4" s="152"/>
    </row>
    <row r="5" spans="1:52" x14ac:dyDescent="0.3">
      <c r="A5" s="5" t="s">
        <v>205</v>
      </c>
    </row>
    <row r="6" spans="1:52" x14ac:dyDescent="0.3">
      <c r="A6" s="152" t="s">
        <v>239</v>
      </c>
      <c r="B6" s="152"/>
    </row>
    <row r="7" spans="1:52" x14ac:dyDescent="0.3">
      <c r="A7" s="5" t="s">
        <v>205</v>
      </c>
    </row>
    <row r="8" spans="1:52" x14ac:dyDescent="0.3">
      <c r="A8" s="153" t="s">
        <v>265</v>
      </c>
      <c r="B8" s="152"/>
      <c r="C8" s="152"/>
      <c r="D8" s="152"/>
      <c r="E8" s="152"/>
      <c r="F8" s="152"/>
      <c r="G8" s="152"/>
      <c r="H8" s="152"/>
      <c r="I8" s="152"/>
      <c r="J8" s="152"/>
      <c r="K8" s="152"/>
    </row>
    <row r="9" spans="1:52" x14ac:dyDescent="0.3">
      <c r="A9" s="38" t="s">
        <v>205</v>
      </c>
    </row>
    <row r="10" spans="1:52" ht="15" thickBot="1" x14ac:dyDescent="0.35">
      <c r="A10" s="97" t="s">
        <v>252</v>
      </c>
    </row>
    <row r="11" spans="1:52" x14ac:dyDescent="0.3">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3">
      <c r="A12" s="6">
        <f>'Project Information'!$B$9</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69">
        <f>IF(A13&lt;'Project Information'!B$11,A13+1,"")</f>
        <v>2031</v>
      </c>
      <c r="B14" s="168">
        <v>0</v>
      </c>
      <c r="E14" s="13"/>
      <c r="F14" s="187" t="s">
        <v>441</v>
      </c>
      <c r="G14" s="187"/>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A28" s="169">
        <f>IF(A27&lt;'Project Information'!B$11,A27+1,"")</f>
        <v>2045</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A29" s="169">
        <f>IF(A28&lt;'Project Information'!B$11,A28+1,"")</f>
        <v>2046</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A30" s="169">
        <f>IF(A29&lt;'Project Information'!B$11,A29+1,"")</f>
        <v>2047</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A31" s="169">
        <f>IF(A30&lt;'Project Information'!B$11,A30+1,"")</f>
        <v>2048</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 thickBot="1" x14ac:dyDescent="0.35">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65"/>
  <sheetViews>
    <sheetView topLeftCell="A31" zoomScale="85" zoomScaleNormal="85" workbookViewId="0">
      <selection activeCell="C56" sqref="C56"/>
    </sheetView>
  </sheetViews>
  <sheetFormatPr defaultColWidth="9.109375" defaultRowHeight="14.4" x14ac:dyDescent="0.3"/>
  <cols>
    <col min="1" max="1" width="32.5546875" style="5" customWidth="1"/>
    <col min="2" max="2" width="30.33203125" style="5" customWidth="1"/>
    <col min="3" max="3" width="23.88671875" style="5" customWidth="1"/>
    <col min="4" max="4" width="25.44140625" style="5" customWidth="1"/>
    <col min="5" max="5" width="31" style="5" customWidth="1"/>
    <col min="6" max="6" width="27.88671875" style="5" customWidth="1"/>
    <col min="7" max="7" width="27.44140625" style="5" customWidth="1"/>
    <col min="8" max="8" width="28.6640625" style="5" customWidth="1"/>
    <col min="9" max="9" width="30.88671875" style="5" customWidth="1"/>
    <col min="10" max="10" width="30.33203125" style="5" customWidth="1"/>
    <col min="11" max="11" width="26.44140625" style="5" customWidth="1"/>
    <col min="12" max="12" width="21.109375" style="5" customWidth="1"/>
    <col min="13" max="13" width="19.44140625" style="5" customWidth="1"/>
    <col min="14" max="14" width="21" style="5" customWidth="1"/>
    <col min="15" max="15" width="19" style="5" customWidth="1"/>
    <col min="16" max="16" width="19.44140625" style="5" customWidth="1"/>
    <col min="17" max="17" width="25.6640625" style="5" customWidth="1"/>
    <col min="18" max="18" width="18.109375" style="5" customWidth="1"/>
    <col min="19" max="19" width="11" style="5" customWidth="1"/>
    <col min="20" max="20" width="19.88671875" style="5" customWidth="1"/>
    <col min="21" max="21" width="25.109375" style="5" customWidth="1"/>
    <col min="22" max="16384" width="9.109375" style="5"/>
  </cols>
  <sheetData>
    <row r="1" spans="1:17" ht="20.399999999999999" thickBot="1" x14ac:dyDescent="0.45">
      <c r="A1" s="96" t="s">
        <v>221</v>
      </c>
    </row>
    <row r="2" spans="1:17" ht="15" thickTop="1" x14ac:dyDescent="0.3">
      <c r="A2" s="152" t="s">
        <v>162</v>
      </c>
      <c r="B2" s="152"/>
      <c r="C2" s="152"/>
      <c r="D2" s="152"/>
      <c r="E2" s="152"/>
      <c r="F2" s="152"/>
      <c r="G2" s="152"/>
      <c r="H2" s="152"/>
      <c r="I2" s="152"/>
      <c r="J2" s="152"/>
    </row>
    <row r="3" spans="1:17" x14ac:dyDescent="0.3">
      <c r="A3" s="5" t="s">
        <v>205</v>
      </c>
    </row>
    <row r="4" spans="1:17" x14ac:dyDescent="0.3">
      <c r="A4" s="97" t="s">
        <v>243</v>
      </c>
    </row>
    <row r="5" spans="1:17" x14ac:dyDescent="0.3">
      <c r="A5" s="110" t="s">
        <v>4</v>
      </c>
      <c r="B5" s="113" t="s">
        <v>7</v>
      </c>
      <c r="C5" s="113" t="s">
        <v>8</v>
      </c>
      <c r="D5" s="113" t="s">
        <v>9</v>
      </c>
      <c r="E5" s="113" t="s">
        <v>10</v>
      </c>
      <c r="F5" s="113" t="s">
        <v>11</v>
      </c>
      <c r="G5" s="113" t="s">
        <v>12</v>
      </c>
      <c r="H5" s="113" t="s">
        <v>263</v>
      </c>
      <c r="I5" s="113" t="s">
        <v>14</v>
      </c>
      <c r="J5" s="113" t="s">
        <v>13</v>
      </c>
      <c r="K5" s="113" t="s">
        <v>20</v>
      </c>
      <c r="L5" s="113" t="str">
        <f>'Other 1-CYCLING RECREATION'!B7</f>
        <v>CYCLING RECREATION</v>
      </c>
      <c r="M5" s="113" t="str">
        <f>'Other 2-WALKING RECREATION'!B7</f>
        <v>PEDESTRIAN RECREATION</v>
      </c>
      <c r="N5" s="113" t="str">
        <f>'Other 3-MOBILITY'!B7</f>
        <v>BIKE MOBILITY BENEFIT</v>
      </c>
      <c r="O5" s="113" t="str">
        <f>'Other Benefit 4'!B11</f>
        <v>Other Benefit 4</v>
      </c>
      <c r="P5" s="113" t="s">
        <v>19</v>
      </c>
      <c r="Q5" s="107" t="s">
        <v>0</v>
      </c>
    </row>
    <row r="6" spans="1:17" x14ac:dyDescent="0.3">
      <c r="A6" s="6">
        <f>'Project Information'!$B$9</f>
        <v>2029</v>
      </c>
      <c r="B6" s="7">
        <f>'Operations and Maintenance'!D8</f>
        <v>636443.18999999994</v>
      </c>
      <c r="C6" s="7">
        <f>Safety!D22</f>
        <v>6962739</v>
      </c>
      <c r="D6" s="7">
        <f>'Travel Time Savings'!D20</f>
        <v>0</v>
      </c>
      <c r="E6" s="7">
        <f>'Vehicle Operating Cost Savings'!D26</f>
        <v>8307</v>
      </c>
      <c r="F6" s="21">
        <f>'Emissions Reduction'!S33</f>
        <v>135</v>
      </c>
      <c r="G6" s="21">
        <f>'Emissions Reduction'!T33</f>
        <v>1203.75</v>
      </c>
      <c r="H6" s="21">
        <f>'Other Highway Use Externalities'!B20</f>
        <v>0</v>
      </c>
      <c r="I6" s="7">
        <f>'Amenity Benefits'!B11</f>
        <v>0</v>
      </c>
      <c r="J6" s="7">
        <f>'Health Benefits'!B15</f>
        <v>209036.08000000002</v>
      </c>
      <c r="K6" s="7">
        <f>'Residual Value'!B23</f>
        <v>0</v>
      </c>
      <c r="L6" s="7">
        <f>'Other 1-CYCLING RECREATION'!B8</f>
        <v>35726419</v>
      </c>
      <c r="M6" s="7">
        <f>'Other 2-WALKING RECREATION'!B8</f>
        <v>35726419</v>
      </c>
      <c r="N6" s="7">
        <f>'Other 3-MOBILITY'!B8</f>
        <v>211466.40000000002</v>
      </c>
      <c r="O6" s="7">
        <f>'Other Benefit 4'!B12</f>
        <v>0</v>
      </c>
      <c r="P6" s="157">
        <f>SUM(C6:O6)-B6</f>
        <v>78209282.040000007</v>
      </c>
      <c r="Q6" s="8">
        <f>IFERROR(((P6-G6)/(1.031)^(A6-Overview!$B$22))+((G6)/(1.02)^(A6-Overview!$B$22)),0)</f>
        <v>63160878.701455027</v>
      </c>
    </row>
    <row r="7" spans="1:17" x14ac:dyDescent="0.3">
      <c r="A7" s="1">
        <f>IF(A6&lt;'Project Information'!B$11,A6+1,"")</f>
        <v>2030</v>
      </c>
      <c r="B7" s="7">
        <f>'Operations and Maintenance'!D9</f>
        <v>636443.18999999994</v>
      </c>
      <c r="C7" s="7">
        <f>Safety!D23</f>
        <v>6962739</v>
      </c>
      <c r="D7" s="7">
        <f>'Travel Time Savings'!D21</f>
        <v>0</v>
      </c>
      <c r="E7" s="7">
        <f>'Vehicle Operating Cost Savings'!D27</f>
        <v>8307</v>
      </c>
      <c r="F7" s="21">
        <f>'Emissions Reduction'!S34</f>
        <v>135</v>
      </c>
      <c r="G7" s="21">
        <f>'Emissions Reduction'!T34</f>
        <v>1203.75</v>
      </c>
      <c r="H7" s="21">
        <f>'Other Highway Use Externalities'!B21</f>
        <v>0</v>
      </c>
      <c r="I7" s="7">
        <f>'Amenity Benefits'!B12</f>
        <v>0</v>
      </c>
      <c r="J7" s="7">
        <f>'Health Benefits'!B16</f>
        <v>209036.08000000002</v>
      </c>
      <c r="K7" s="7">
        <f>'Residual Value'!B24</f>
        <v>0</v>
      </c>
      <c r="L7" s="7">
        <f>'Other 1-CYCLING RECREATION'!B9</f>
        <v>35726419</v>
      </c>
      <c r="M7" s="7">
        <f>'Other 2-WALKING RECREATION'!B9</f>
        <v>35726419</v>
      </c>
      <c r="N7" s="7">
        <f>'Other 3-MOBILITY'!B9</f>
        <v>211466.40000000002</v>
      </c>
      <c r="O7" s="7">
        <f>'Other Benefit 4'!B13</f>
        <v>0</v>
      </c>
      <c r="P7" s="157">
        <f t="shared" ref="P7:P35" si="0">SUM(C7:O7)-B7</f>
        <v>78209282.040000007</v>
      </c>
      <c r="Q7" s="8">
        <f>IFERROR(((P7-G7)/(1.031)^(A7-Overview!$B$22))+((G7)/(1.02)^(A7-Overview!$B$22)),0)</f>
        <v>61261774.978403889</v>
      </c>
    </row>
    <row r="8" spans="1:17" x14ac:dyDescent="0.3">
      <c r="A8" s="1">
        <f>IF(A7&lt;'Project Information'!B$11,A7+1,"")</f>
        <v>2031</v>
      </c>
      <c r="B8" s="7">
        <f>'Operations and Maintenance'!D10</f>
        <v>636443.18999999994</v>
      </c>
      <c r="C8" s="7">
        <f>Safety!D24</f>
        <v>6962739</v>
      </c>
      <c r="D8" s="7">
        <f>'Travel Time Savings'!D22</f>
        <v>0</v>
      </c>
      <c r="E8" s="7">
        <f>'Vehicle Operating Cost Savings'!D28</f>
        <v>8307</v>
      </c>
      <c r="F8" s="21">
        <f>'Emissions Reduction'!S35</f>
        <v>135</v>
      </c>
      <c r="G8" s="21">
        <f>'Emissions Reduction'!T35</f>
        <v>1203.75</v>
      </c>
      <c r="H8" s="21">
        <f>'Other Highway Use Externalities'!B22</f>
        <v>0</v>
      </c>
      <c r="I8" s="7">
        <f>'Amenity Benefits'!B13</f>
        <v>0</v>
      </c>
      <c r="J8" s="7">
        <f>'Health Benefits'!B17</f>
        <v>209036.08000000002</v>
      </c>
      <c r="K8" s="7">
        <f>'Residual Value'!B25</f>
        <v>0</v>
      </c>
      <c r="L8" s="7">
        <f>'Other 1-CYCLING RECREATION'!B10</f>
        <v>35726419</v>
      </c>
      <c r="M8" s="7">
        <f>'Other 2-WALKING RECREATION'!B10</f>
        <v>35726419</v>
      </c>
      <c r="N8" s="7">
        <f>'Other 3-MOBILITY'!B10</f>
        <v>211466.40000000002</v>
      </c>
      <c r="O8" s="7">
        <f>'Other Benefit 4'!B14</f>
        <v>0</v>
      </c>
      <c r="P8" s="157">
        <f t="shared" si="0"/>
        <v>78209282.040000007</v>
      </c>
      <c r="Q8" s="8">
        <f>IFERROR(((P8-G8)/(1.031)^(A8-Overview!$B$22))+((G8)/(1.02)^(A8-Overview!$B$22)),0)</f>
        <v>59419773.092230417</v>
      </c>
    </row>
    <row r="9" spans="1:17" x14ac:dyDescent="0.3">
      <c r="A9" s="1">
        <f>IF(A8&lt;'Project Information'!B$11,A8+1,"")</f>
        <v>2032</v>
      </c>
      <c r="B9" s="7">
        <f>'Operations and Maintenance'!D11</f>
        <v>636443.18999999994</v>
      </c>
      <c r="C9" s="7">
        <f>Safety!D25</f>
        <v>6962739</v>
      </c>
      <c r="D9" s="7">
        <f>'Travel Time Savings'!D23</f>
        <v>0</v>
      </c>
      <c r="E9" s="7">
        <f>'Vehicle Operating Cost Savings'!D29</f>
        <v>8307</v>
      </c>
      <c r="F9" s="21">
        <f>'Emissions Reduction'!S36</f>
        <v>135</v>
      </c>
      <c r="G9" s="21">
        <f>'Emissions Reduction'!T36</f>
        <v>1203.75</v>
      </c>
      <c r="H9" s="21">
        <f>'Other Highway Use Externalities'!B23</f>
        <v>0</v>
      </c>
      <c r="I9" s="7">
        <f>'Amenity Benefits'!B14</f>
        <v>0</v>
      </c>
      <c r="J9" s="7">
        <f>'Health Benefits'!B18</f>
        <v>209036.08000000002</v>
      </c>
      <c r="K9" s="7">
        <f>'Residual Value'!B26</f>
        <v>0</v>
      </c>
      <c r="L9" s="7">
        <f>'Other 1-CYCLING RECREATION'!B11</f>
        <v>35726419</v>
      </c>
      <c r="M9" s="7">
        <f>'Other 2-WALKING RECREATION'!B11</f>
        <v>35726419</v>
      </c>
      <c r="N9" s="7">
        <f>'Other 3-MOBILITY'!B11</f>
        <v>211466.40000000002</v>
      </c>
      <c r="O9" s="7">
        <f>'Other Benefit 4'!B15</f>
        <v>0</v>
      </c>
      <c r="P9" s="157">
        <f t="shared" si="0"/>
        <v>78209282.040000007</v>
      </c>
      <c r="Q9" s="8">
        <f>IFERROR(((P9-G9)/(1.031)^(A9-Overview!$B$22))+((G9)/(1.02)^(A9-Overview!$B$22)),0)</f>
        <v>57633156.115099266</v>
      </c>
    </row>
    <row r="10" spans="1:17" x14ac:dyDescent="0.3">
      <c r="A10" s="1">
        <f>IF(A9&lt;'Project Information'!B$11,A9+1,"")</f>
        <v>2033</v>
      </c>
      <c r="B10" s="7">
        <f>'Operations and Maintenance'!D12</f>
        <v>636443.18999999994</v>
      </c>
      <c r="C10" s="7">
        <f>Safety!D26</f>
        <v>6962739</v>
      </c>
      <c r="D10" s="7">
        <f>'Travel Time Savings'!D24</f>
        <v>0</v>
      </c>
      <c r="E10" s="7">
        <f>'Vehicle Operating Cost Savings'!D30</f>
        <v>8307</v>
      </c>
      <c r="F10" s="21">
        <f>'Emissions Reduction'!S37</f>
        <v>135</v>
      </c>
      <c r="G10" s="21">
        <f>'Emissions Reduction'!T37</f>
        <v>1203.75</v>
      </c>
      <c r="H10" s="21">
        <f>'Other Highway Use Externalities'!B24</f>
        <v>0</v>
      </c>
      <c r="I10" s="7">
        <f>'Amenity Benefits'!B15</f>
        <v>0</v>
      </c>
      <c r="J10" s="7">
        <f>'Health Benefits'!B19</f>
        <v>209036.08000000002</v>
      </c>
      <c r="K10" s="7">
        <f>'Residual Value'!B27</f>
        <v>0</v>
      </c>
      <c r="L10" s="7">
        <f>'Other 1-CYCLING RECREATION'!B12</f>
        <v>35726419</v>
      </c>
      <c r="M10" s="7">
        <f>'Other 2-WALKING RECREATION'!B12</f>
        <v>35726419</v>
      </c>
      <c r="N10" s="7">
        <f>'Other 3-MOBILITY'!B12</f>
        <v>211466.40000000002</v>
      </c>
      <c r="O10" s="7">
        <f>'Other Benefit 4'!B16</f>
        <v>0</v>
      </c>
      <c r="P10" s="157">
        <f t="shared" si="0"/>
        <v>78209282.040000007</v>
      </c>
      <c r="Q10" s="8">
        <f>IFERROR(((P10-G10)/(1.031)^(A10-Overview!$B$22))+((G10)/(1.02)^(A10-Overview!$B$22)),0)</f>
        <v>55900258.74349878</v>
      </c>
    </row>
    <row r="11" spans="1:17" x14ac:dyDescent="0.3">
      <c r="A11" s="1">
        <f>IF(A10&lt;'Project Information'!B$11,A10+1,"")</f>
        <v>2034</v>
      </c>
      <c r="B11" s="7">
        <f>'Operations and Maintenance'!D13</f>
        <v>636443.18999999994</v>
      </c>
      <c r="C11" s="7">
        <f>Safety!D27</f>
        <v>6962739</v>
      </c>
      <c r="D11" s="7">
        <f>'Travel Time Savings'!D25</f>
        <v>0</v>
      </c>
      <c r="E11" s="7">
        <f>'Vehicle Operating Cost Savings'!D31</f>
        <v>8307</v>
      </c>
      <c r="F11" s="21">
        <f>'Emissions Reduction'!S38</f>
        <v>135</v>
      </c>
      <c r="G11" s="21">
        <f>'Emissions Reduction'!T38</f>
        <v>1203.75</v>
      </c>
      <c r="H11" s="21">
        <f>'Other Highway Use Externalities'!B25</f>
        <v>0</v>
      </c>
      <c r="I11" s="7">
        <f>'Amenity Benefits'!B16</f>
        <v>0</v>
      </c>
      <c r="J11" s="7">
        <f>'Health Benefits'!B20</f>
        <v>209036.08000000002</v>
      </c>
      <c r="K11" s="7">
        <f>'Residual Value'!B28</f>
        <v>0</v>
      </c>
      <c r="L11" s="7">
        <f>'Other 1-CYCLING RECREATION'!B13</f>
        <v>35726419</v>
      </c>
      <c r="M11" s="7">
        <f>'Other 2-WALKING RECREATION'!B13</f>
        <v>35726419</v>
      </c>
      <c r="N11" s="7">
        <f>'Other 3-MOBILITY'!B13</f>
        <v>211466.40000000002</v>
      </c>
      <c r="O11" s="7">
        <f>'Other Benefit 4'!B17</f>
        <v>0</v>
      </c>
      <c r="P11" s="157">
        <f t="shared" si="0"/>
        <v>78209282.040000007</v>
      </c>
      <c r="Q11" s="8">
        <f>IFERROR(((P11-G11)/(1.031)^(A11-Overview!$B$22))+((G11)/(1.02)^(A11-Overview!$B$22)),0)</f>
        <v>54219465.746007793</v>
      </c>
    </row>
    <row r="12" spans="1:17" x14ac:dyDescent="0.3">
      <c r="A12" s="1">
        <f>IF(A11&lt;'Project Information'!B$11,A11+1,"")</f>
        <v>2035</v>
      </c>
      <c r="B12" s="7">
        <f>'Operations and Maintenance'!D14</f>
        <v>636443.18999999994</v>
      </c>
      <c r="C12" s="7">
        <f>Safety!D28</f>
        <v>6962739</v>
      </c>
      <c r="D12" s="7">
        <f>'Travel Time Savings'!D26</f>
        <v>0</v>
      </c>
      <c r="E12" s="7">
        <f>'Vehicle Operating Cost Savings'!D32</f>
        <v>8307</v>
      </c>
      <c r="F12" s="21">
        <f>'Emissions Reduction'!S39</f>
        <v>135</v>
      </c>
      <c r="G12" s="21">
        <f>'Emissions Reduction'!T39</f>
        <v>1203.75</v>
      </c>
      <c r="H12" s="21">
        <f>'Other Highway Use Externalities'!B26</f>
        <v>0</v>
      </c>
      <c r="I12" s="7">
        <f>'Amenity Benefits'!B17</f>
        <v>0</v>
      </c>
      <c r="J12" s="7">
        <f>'Health Benefits'!B21</f>
        <v>209036.08000000002</v>
      </c>
      <c r="K12" s="7">
        <f>'Residual Value'!B29</f>
        <v>0</v>
      </c>
      <c r="L12" s="7">
        <f>'Other 1-CYCLING RECREATION'!B14</f>
        <v>35726419</v>
      </c>
      <c r="M12" s="7">
        <f>'Other 2-WALKING RECREATION'!B14</f>
        <v>35726419</v>
      </c>
      <c r="N12" s="7">
        <f>'Other 3-MOBILITY'!B14</f>
        <v>211466.40000000002</v>
      </c>
      <c r="O12" s="7">
        <f>'Other Benefit 4'!B18</f>
        <v>0</v>
      </c>
      <c r="P12" s="157">
        <f t="shared" si="0"/>
        <v>78209282.040000007</v>
      </c>
      <c r="Q12" s="8">
        <f>IFERROR(((P12-G12)/(1.031)^(A12-Overview!$B$22))+((G12)/(1.02)^(A12-Overview!$B$22)),0)</f>
        <v>52589210.457734928</v>
      </c>
    </row>
    <row r="13" spans="1:17" x14ac:dyDescent="0.3">
      <c r="A13" s="1">
        <f>IF(A12&lt;'Project Information'!B$11,A12+1,"")</f>
        <v>2036</v>
      </c>
      <c r="B13" s="7">
        <f>'Operations and Maintenance'!D15</f>
        <v>636443.18999999994</v>
      </c>
      <c r="C13" s="7">
        <f>Safety!D29</f>
        <v>6962739</v>
      </c>
      <c r="D13" s="7">
        <f>'Travel Time Savings'!D27</f>
        <v>0</v>
      </c>
      <c r="E13" s="7">
        <f>'Vehicle Operating Cost Savings'!D33</f>
        <v>8307</v>
      </c>
      <c r="F13" s="21">
        <f>'Emissions Reduction'!S40</f>
        <v>135</v>
      </c>
      <c r="G13" s="21">
        <f>'Emissions Reduction'!T40</f>
        <v>1203.75</v>
      </c>
      <c r="H13" s="21">
        <f>'Other Highway Use Externalities'!B27</f>
        <v>0</v>
      </c>
      <c r="I13" s="7">
        <f>'Amenity Benefits'!B18</f>
        <v>0</v>
      </c>
      <c r="J13" s="7">
        <f>'Health Benefits'!B22</f>
        <v>209036.08000000002</v>
      </c>
      <c r="K13" s="7">
        <f>'Residual Value'!B30</f>
        <v>0</v>
      </c>
      <c r="L13" s="7">
        <f>'Other 1-CYCLING RECREATION'!B15</f>
        <v>35726419</v>
      </c>
      <c r="M13" s="7">
        <f>'Other 2-WALKING RECREATION'!B15</f>
        <v>35726419</v>
      </c>
      <c r="N13" s="7">
        <f>'Other 3-MOBILITY'!B15</f>
        <v>211466.40000000002</v>
      </c>
      <c r="O13" s="7">
        <f>'Other Benefit 4'!B19</f>
        <v>0</v>
      </c>
      <c r="P13" s="157">
        <f>SUM(C13:O13)-B13</f>
        <v>78209282.040000007</v>
      </c>
      <c r="Q13" s="8">
        <f>IFERROR(((P13-G13)/(1.031)^(A13-Overview!$B$22))+((G13)/(1.02)^(A13-Overview!$B$22)),0)</f>
        <v>51007973.320026778</v>
      </c>
    </row>
    <row r="14" spans="1:17" x14ac:dyDescent="0.3">
      <c r="A14" s="1">
        <f>IF(A13&lt;'Project Information'!B$11,A13+1,"")</f>
        <v>2037</v>
      </c>
      <c r="B14" s="7">
        <f>'Operations and Maintenance'!D16</f>
        <v>636443.18999999994</v>
      </c>
      <c r="C14" s="7">
        <f>Safety!D30</f>
        <v>6962739</v>
      </c>
      <c r="D14" s="7">
        <f>'Travel Time Savings'!D28</f>
        <v>0</v>
      </c>
      <c r="E14" s="7">
        <f>'Vehicle Operating Cost Savings'!D34</f>
        <v>8307</v>
      </c>
      <c r="F14" s="21">
        <f>'Emissions Reduction'!S41</f>
        <v>135</v>
      </c>
      <c r="G14" s="21">
        <f>'Emissions Reduction'!T41</f>
        <v>1203.75</v>
      </c>
      <c r="H14" s="21">
        <f>'Other Highway Use Externalities'!B28</f>
        <v>0</v>
      </c>
      <c r="I14" s="7">
        <f>'Amenity Benefits'!B19</f>
        <v>0</v>
      </c>
      <c r="J14" s="7">
        <f>'Health Benefits'!B23</f>
        <v>209036.08000000002</v>
      </c>
      <c r="K14" s="7">
        <f>'Residual Value'!B31</f>
        <v>0</v>
      </c>
      <c r="L14" s="7">
        <f>'Other 1-CYCLING RECREATION'!B16</f>
        <v>35726419</v>
      </c>
      <c r="M14" s="7">
        <f>'Other 2-WALKING RECREATION'!B16</f>
        <v>35726419</v>
      </c>
      <c r="N14" s="7">
        <f>'Other 3-MOBILITY'!B16</f>
        <v>211466.40000000002</v>
      </c>
      <c r="O14" s="7">
        <f>'Other Benefit 4'!B20</f>
        <v>0</v>
      </c>
      <c r="P14" s="157">
        <f t="shared" si="0"/>
        <v>78209282.040000007</v>
      </c>
      <c r="Q14" s="8">
        <f>IFERROR(((P14-G14)/(1.031)^(A14-Overview!$B$22))+((G14)/(1.02)^(A14-Overview!$B$22)),0)</f>
        <v>49474280.46408397</v>
      </c>
    </row>
    <row r="15" spans="1:17" x14ac:dyDescent="0.3">
      <c r="A15" s="1">
        <f>IF(A14&lt;'Project Information'!B$11,A14+1,"")</f>
        <v>2038</v>
      </c>
      <c r="B15" s="7">
        <f>'Operations and Maintenance'!D17</f>
        <v>636443.18999999994</v>
      </c>
      <c r="C15" s="7">
        <f>Safety!D31</f>
        <v>6962739</v>
      </c>
      <c r="D15" s="7">
        <f>'Travel Time Savings'!D29</f>
        <v>0</v>
      </c>
      <c r="E15" s="7">
        <f>'Vehicle Operating Cost Savings'!D35</f>
        <v>8307</v>
      </c>
      <c r="F15" s="21">
        <f>'Emissions Reduction'!S42</f>
        <v>135</v>
      </c>
      <c r="G15" s="21">
        <f>'Emissions Reduction'!T42</f>
        <v>1203.75</v>
      </c>
      <c r="H15" s="21">
        <f>'Other Highway Use Externalities'!B29</f>
        <v>0</v>
      </c>
      <c r="I15" s="7">
        <f>'Amenity Benefits'!B20</f>
        <v>0</v>
      </c>
      <c r="J15" s="7">
        <f>'Health Benefits'!B24</f>
        <v>209036.08000000002</v>
      </c>
      <c r="K15" s="7">
        <f>'Residual Value'!B32</f>
        <v>0</v>
      </c>
      <c r="L15" s="7">
        <f>'Other 1-CYCLING RECREATION'!B17</f>
        <v>35726419</v>
      </c>
      <c r="M15" s="7">
        <f>'Other 2-WALKING RECREATION'!B17</f>
        <v>35726419</v>
      </c>
      <c r="N15" s="7">
        <f>'Other 3-MOBILITY'!B17</f>
        <v>211466.40000000002</v>
      </c>
      <c r="O15" s="7">
        <f>'Other Benefit 4'!B21</f>
        <v>0</v>
      </c>
      <c r="P15" s="157">
        <f t="shared" si="0"/>
        <v>78209282.040000007</v>
      </c>
      <c r="Q15" s="8">
        <f>IFERROR(((P15-G15)/(1.031)^(A15-Overview!$B$22))+((G15)/(1.02)^(A15-Overview!$B$22)),0)</f>
        <v>47986702.337164983</v>
      </c>
    </row>
    <row r="16" spans="1:17" x14ac:dyDescent="0.3">
      <c r="A16" s="1">
        <f>IF(A15&lt;'Project Information'!B$11,A15+1,"")</f>
        <v>2039</v>
      </c>
      <c r="B16" s="7">
        <f>'Operations and Maintenance'!D18</f>
        <v>636443.18999999994</v>
      </c>
      <c r="C16" s="7">
        <f>Safety!D32</f>
        <v>6962739</v>
      </c>
      <c r="D16" s="7">
        <f>'Travel Time Savings'!D30</f>
        <v>0</v>
      </c>
      <c r="E16" s="7">
        <f>'Vehicle Operating Cost Savings'!D36</f>
        <v>8307</v>
      </c>
      <c r="F16" s="21">
        <f>'Emissions Reduction'!S43</f>
        <v>135</v>
      </c>
      <c r="G16" s="21">
        <f>'Emissions Reduction'!T43</f>
        <v>1203.75</v>
      </c>
      <c r="H16" s="21">
        <f>'Other Highway Use Externalities'!B30</f>
        <v>0</v>
      </c>
      <c r="I16" s="7">
        <f>'Amenity Benefits'!B21</f>
        <v>0</v>
      </c>
      <c r="J16" s="7">
        <f>'Health Benefits'!B25</f>
        <v>209036.08000000002</v>
      </c>
      <c r="K16" s="7">
        <f>'Residual Value'!B33</f>
        <v>0</v>
      </c>
      <c r="L16" s="7">
        <f>'Other 1-CYCLING RECREATION'!B18</f>
        <v>35726419</v>
      </c>
      <c r="M16" s="7">
        <f>'Other 2-WALKING RECREATION'!B18</f>
        <v>35726419</v>
      </c>
      <c r="N16" s="7">
        <f>'Other 3-MOBILITY'!B18</f>
        <v>211466.40000000002</v>
      </c>
      <c r="O16" s="7">
        <f>'Other Benefit 4'!B22</f>
        <v>0</v>
      </c>
      <c r="P16" s="157">
        <f t="shared" si="0"/>
        <v>78209282.040000007</v>
      </c>
      <c r="Q16" s="8">
        <f>IFERROR(((P16-G16)/(1.031)^(A16-Overview!$B$22))+((G16)/(1.02)^(A16-Overview!$B$22)),0)</f>
        <v>46543852.370097011</v>
      </c>
    </row>
    <row r="17" spans="1:17" x14ac:dyDescent="0.3">
      <c r="A17" s="1">
        <f>IF(A16&lt;'Project Information'!B$11,A16+1,"")</f>
        <v>2040</v>
      </c>
      <c r="B17" s="7">
        <f>'Operations and Maintenance'!D19</f>
        <v>636443.18999999994</v>
      </c>
      <c r="C17" s="7">
        <f>Safety!D33</f>
        <v>6962739</v>
      </c>
      <c r="D17" s="7">
        <f>'Travel Time Savings'!D31</f>
        <v>0</v>
      </c>
      <c r="E17" s="7">
        <f>'Vehicle Operating Cost Savings'!D37</f>
        <v>8307</v>
      </c>
      <c r="F17" s="21">
        <f>'Emissions Reduction'!S44</f>
        <v>135</v>
      </c>
      <c r="G17" s="21">
        <f>'Emissions Reduction'!T44</f>
        <v>1203.75</v>
      </c>
      <c r="H17" s="21">
        <f>'Other Highway Use Externalities'!B31</f>
        <v>0</v>
      </c>
      <c r="I17" s="7">
        <f>'Amenity Benefits'!B22</f>
        <v>0</v>
      </c>
      <c r="J17" s="7">
        <f>'Health Benefits'!B26</f>
        <v>209036.08000000002</v>
      </c>
      <c r="K17" s="7">
        <f>'Residual Value'!B34</f>
        <v>0</v>
      </c>
      <c r="L17" s="7">
        <f>'Other 1-CYCLING RECREATION'!B19</f>
        <v>35726419</v>
      </c>
      <c r="M17" s="7">
        <f>'Other 2-WALKING RECREATION'!B19</f>
        <v>35726419</v>
      </c>
      <c r="N17" s="7">
        <f>'Other 3-MOBILITY'!B19</f>
        <v>211466.40000000002</v>
      </c>
      <c r="O17" s="7">
        <f>'Other Benefit 4'!B23</f>
        <v>0</v>
      </c>
      <c r="P17" s="157">
        <f t="shared" si="0"/>
        <v>78209282.040000007</v>
      </c>
      <c r="Q17" s="8">
        <f>IFERROR(((P17-G17)/(1.031)^(A17-Overview!$B$22))+((G17)/(1.02)^(A17-Overview!$B$22)),0)</f>
        <v>45144385.68485193</v>
      </c>
    </row>
    <row r="18" spans="1:17" x14ac:dyDescent="0.3">
      <c r="A18" s="1">
        <f>IF(A17&lt;'Project Information'!B$11,A17+1,"")</f>
        <v>2041</v>
      </c>
      <c r="B18" s="7">
        <f>'Operations and Maintenance'!D20</f>
        <v>636443.18999999994</v>
      </c>
      <c r="C18" s="7">
        <f>Safety!D34</f>
        <v>6962739</v>
      </c>
      <c r="D18" s="7">
        <f>'Travel Time Savings'!D32</f>
        <v>0</v>
      </c>
      <c r="E18" s="7">
        <f>'Vehicle Operating Cost Savings'!D38</f>
        <v>8307</v>
      </c>
      <c r="F18" s="21">
        <f>'Emissions Reduction'!S45</f>
        <v>135</v>
      </c>
      <c r="G18" s="21">
        <f>'Emissions Reduction'!T45</f>
        <v>1203.75</v>
      </c>
      <c r="H18" s="21">
        <f>'Other Highway Use Externalities'!B32</f>
        <v>0</v>
      </c>
      <c r="I18" s="7">
        <f>'Amenity Benefits'!B23</f>
        <v>0</v>
      </c>
      <c r="J18" s="7">
        <f>'Health Benefits'!B27</f>
        <v>209036.08000000002</v>
      </c>
      <c r="K18" s="7">
        <f>'Residual Value'!B35</f>
        <v>0</v>
      </c>
      <c r="L18" s="7">
        <f>'Other 1-CYCLING RECREATION'!B20</f>
        <v>35726419</v>
      </c>
      <c r="M18" s="7">
        <f>'Other 2-WALKING RECREATION'!B20</f>
        <v>35726419</v>
      </c>
      <c r="N18" s="7">
        <f>'Other 3-MOBILITY'!B20</f>
        <v>211466.40000000002</v>
      </c>
      <c r="O18" s="7">
        <f>'Other Benefit 4'!B24</f>
        <v>0</v>
      </c>
      <c r="P18" s="157">
        <f t="shared" si="0"/>
        <v>78209282.040000007</v>
      </c>
      <c r="Q18" s="8">
        <f>IFERROR(((P18-G18)/(1.031)^(A18-Overview!$B$22))+((G18)/(1.02)^(A18-Overview!$B$22)),0)</f>
        <v>43786997.840982772</v>
      </c>
    </row>
    <row r="19" spans="1:17" x14ac:dyDescent="0.3">
      <c r="A19" s="1">
        <f>IF(A18&lt;'Project Information'!B$11,A18+1,"")</f>
        <v>2042</v>
      </c>
      <c r="B19" s="7">
        <f>'Operations and Maintenance'!D21</f>
        <v>636443.18999999994</v>
      </c>
      <c r="C19" s="7">
        <f>Safety!D35</f>
        <v>6962739</v>
      </c>
      <c r="D19" s="7">
        <f>'Travel Time Savings'!D33</f>
        <v>0</v>
      </c>
      <c r="E19" s="7">
        <f>'Vehicle Operating Cost Savings'!D39</f>
        <v>8307</v>
      </c>
      <c r="F19" s="21">
        <f>'Emissions Reduction'!S46</f>
        <v>135</v>
      </c>
      <c r="G19" s="21">
        <f>'Emissions Reduction'!T46</f>
        <v>1203.75</v>
      </c>
      <c r="H19" s="21">
        <f>'Other Highway Use Externalities'!B33</f>
        <v>0</v>
      </c>
      <c r="I19" s="7">
        <f>'Amenity Benefits'!B24</f>
        <v>0</v>
      </c>
      <c r="J19" s="7">
        <f>'Health Benefits'!B28</f>
        <v>209036.08000000002</v>
      </c>
      <c r="K19" s="7">
        <f>'Residual Value'!B36</f>
        <v>0</v>
      </c>
      <c r="L19" s="7">
        <f>'Other 1-CYCLING RECREATION'!B21</f>
        <v>35726419</v>
      </c>
      <c r="M19" s="7">
        <f>'Other 2-WALKING RECREATION'!B21</f>
        <v>35726419</v>
      </c>
      <c r="N19" s="7">
        <f>'Other 3-MOBILITY'!B21</f>
        <v>211466.40000000002</v>
      </c>
      <c r="O19" s="7">
        <f>'Other Benefit 4'!B25</f>
        <v>0</v>
      </c>
      <c r="P19" s="157">
        <f t="shared" si="0"/>
        <v>78209282.040000007</v>
      </c>
      <c r="Q19" s="8">
        <f>IFERROR(((P19-G19)/(1.031)^(A19-Overview!$B$22))+((G19)/(1.02)^(A19-Overview!$B$22)),0)</f>
        <v>42470423.619752117</v>
      </c>
    </row>
    <row r="20" spans="1:17" x14ac:dyDescent="0.3">
      <c r="A20" s="1">
        <f>IF(A19&lt;'Project Information'!B$11,A19+1,"")</f>
        <v>2043</v>
      </c>
      <c r="B20" s="7">
        <f>'Operations and Maintenance'!D22</f>
        <v>636443.18999999994</v>
      </c>
      <c r="C20" s="7">
        <f>Safety!D36</f>
        <v>6962739</v>
      </c>
      <c r="D20" s="7">
        <f>'Travel Time Savings'!D34</f>
        <v>0</v>
      </c>
      <c r="E20" s="7">
        <f>'Vehicle Operating Cost Savings'!D40</f>
        <v>8307</v>
      </c>
      <c r="F20" s="21">
        <f>'Emissions Reduction'!S47</f>
        <v>135</v>
      </c>
      <c r="G20" s="21">
        <f>'Emissions Reduction'!T47</f>
        <v>1203.75</v>
      </c>
      <c r="H20" s="21">
        <f>'Other Highway Use Externalities'!B34</f>
        <v>0</v>
      </c>
      <c r="I20" s="7">
        <f>'Amenity Benefits'!B25</f>
        <v>0</v>
      </c>
      <c r="J20" s="7">
        <f>'Health Benefits'!B29</f>
        <v>209036.08000000002</v>
      </c>
      <c r="K20" s="7">
        <f>'Residual Value'!B37</f>
        <v>0</v>
      </c>
      <c r="L20" s="7">
        <f>'Other 1-CYCLING RECREATION'!B22</f>
        <v>35726419</v>
      </c>
      <c r="M20" s="7">
        <f>'Other 2-WALKING RECREATION'!B22</f>
        <v>35726419</v>
      </c>
      <c r="N20" s="7">
        <f>'Other 3-MOBILITY'!B22</f>
        <v>211466.40000000002</v>
      </c>
      <c r="O20" s="7">
        <f>'Other Benefit 4'!B26</f>
        <v>0</v>
      </c>
      <c r="P20" s="157">
        <f t="shared" si="0"/>
        <v>78209282.040000007</v>
      </c>
      <c r="Q20" s="8">
        <f>IFERROR(((P20-G20)/(1.031)^(A20-Overview!$B$22))+((G20)/(1.02)^(A20-Overview!$B$22)),0)</f>
        <v>41193435.844819263</v>
      </c>
    </row>
    <row r="21" spans="1:17" x14ac:dyDescent="0.3">
      <c r="A21" s="1">
        <f>IF(A20&lt;'Project Information'!B$11,A20+1,"")</f>
        <v>2044</v>
      </c>
      <c r="B21" s="7">
        <f>'Operations and Maintenance'!D23</f>
        <v>636443.18999999994</v>
      </c>
      <c r="C21" s="7">
        <f>Safety!D37</f>
        <v>6962739</v>
      </c>
      <c r="D21" s="7">
        <f>'Travel Time Savings'!D35</f>
        <v>0</v>
      </c>
      <c r="E21" s="7">
        <f>'Vehicle Operating Cost Savings'!D41</f>
        <v>8307</v>
      </c>
      <c r="F21" s="21">
        <f>'Emissions Reduction'!S48</f>
        <v>135</v>
      </c>
      <c r="G21" s="21">
        <f>'Emissions Reduction'!T48</f>
        <v>1203.75</v>
      </c>
      <c r="H21" s="21">
        <f>'Other Highway Use Externalities'!B35</f>
        <v>0</v>
      </c>
      <c r="I21" s="7">
        <f>'Amenity Benefits'!B26</f>
        <v>0</v>
      </c>
      <c r="J21" s="7">
        <f>'Health Benefits'!B30</f>
        <v>209036.08000000002</v>
      </c>
      <c r="K21" s="7">
        <f>'Residual Value'!B38</f>
        <v>0</v>
      </c>
      <c r="L21" s="7">
        <f>'Other 1-CYCLING RECREATION'!B23</f>
        <v>35726419</v>
      </c>
      <c r="M21" s="7">
        <f>'Other 2-WALKING RECREATION'!B23</f>
        <v>35726419</v>
      </c>
      <c r="N21" s="7">
        <f>'Other 3-MOBILITY'!B23</f>
        <v>211466.40000000002</v>
      </c>
      <c r="O21" s="7">
        <f>'Other Benefit 4'!B27</f>
        <v>0</v>
      </c>
      <c r="P21" s="157">
        <f t="shared" si="0"/>
        <v>78209282.040000007</v>
      </c>
      <c r="Q21" s="8">
        <f>IFERROR(((P21-G21)/(1.031)^(A21-Overview!$B$22))+((G21)/(1.02)^(A21-Overview!$B$22)),0)</f>
        <v>39954844.238386653</v>
      </c>
    </row>
    <row r="22" spans="1:17" x14ac:dyDescent="0.3">
      <c r="A22" s="1">
        <f>IF(A21&lt;'Project Information'!B$11,A21+1,"")</f>
        <v>2045</v>
      </c>
      <c r="B22" s="7">
        <f>'Operations and Maintenance'!D24</f>
        <v>636443.18999999994</v>
      </c>
      <c r="C22" s="7">
        <f>Safety!D38</f>
        <v>6962739</v>
      </c>
      <c r="D22" s="7">
        <f>'Travel Time Savings'!D36</f>
        <v>0</v>
      </c>
      <c r="E22" s="7">
        <f>'Vehicle Operating Cost Savings'!D42</f>
        <v>8307</v>
      </c>
      <c r="F22" s="21">
        <f>'Emissions Reduction'!S49</f>
        <v>135</v>
      </c>
      <c r="G22" s="21">
        <f>'Emissions Reduction'!T49</f>
        <v>1203.75</v>
      </c>
      <c r="H22" s="21">
        <f>'Other Highway Use Externalities'!B36</f>
        <v>0</v>
      </c>
      <c r="I22" s="7">
        <f>'Amenity Benefits'!B27</f>
        <v>0</v>
      </c>
      <c r="J22" s="7">
        <f>'Health Benefits'!B31</f>
        <v>209036.08000000002</v>
      </c>
      <c r="K22" s="7">
        <f>'Residual Value'!B39</f>
        <v>0</v>
      </c>
      <c r="L22" s="7">
        <f>'Other 1-CYCLING RECREATION'!B24</f>
        <v>35726419</v>
      </c>
      <c r="M22" s="7">
        <f>'Other 2-WALKING RECREATION'!B24</f>
        <v>35726419</v>
      </c>
      <c r="N22" s="7">
        <f>'Other 3-MOBILITY'!B24</f>
        <v>211466.40000000002</v>
      </c>
      <c r="O22" s="7">
        <f>'Other Benefit 4'!B28</f>
        <v>0</v>
      </c>
      <c r="P22" s="157">
        <f t="shared" si="0"/>
        <v>78209282.040000007</v>
      </c>
      <c r="Q22" s="8">
        <f>IFERROR(((P22-G22)/(1.031)^(A22-Overview!$B$22))+((G22)/(1.02)^(A22-Overview!$B$22)),0)</f>
        <v>38753494.311739773</v>
      </c>
    </row>
    <row r="23" spans="1:17" x14ac:dyDescent="0.3">
      <c r="A23" s="1">
        <f>IF(A22&lt;'Project Information'!B$11,A22+1,"")</f>
        <v>2046</v>
      </c>
      <c r="B23" s="7">
        <f>'Operations and Maintenance'!D25</f>
        <v>636443.18999999994</v>
      </c>
      <c r="C23" s="7">
        <f>Safety!D39</f>
        <v>6962739</v>
      </c>
      <c r="D23" s="7">
        <f>'Travel Time Savings'!D37</f>
        <v>0</v>
      </c>
      <c r="E23" s="7">
        <f>'Vehicle Operating Cost Savings'!D43</f>
        <v>8307</v>
      </c>
      <c r="F23" s="21">
        <f>'Emissions Reduction'!S50</f>
        <v>135</v>
      </c>
      <c r="G23" s="21">
        <f>'Emissions Reduction'!T50</f>
        <v>1203.75</v>
      </c>
      <c r="H23" s="21">
        <f>'Other Highway Use Externalities'!B37</f>
        <v>0</v>
      </c>
      <c r="I23" s="7">
        <f>'Amenity Benefits'!B28</f>
        <v>0</v>
      </c>
      <c r="J23" s="7">
        <f>'Health Benefits'!B32</f>
        <v>209036.08000000002</v>
      </c>
      <c r="K23" s="7">
        <f>'Residual Value'!B40</f>
        <v>0</v>
      </c>
      <c r="L23" s="7">
        <f>'Other 1-CYCLING RECREATION'!B25</f>
        <v>35726419</v>
      </c>
      <c r="M23" s="7">
        <f>'Other 2-WALKING RECREATION'!B25</f>
        <v>35726419</v>
      </c>
      <c r="N23" s="7">
        <f>'Other 3-MOBILITY'!B25</f>
        <v>211466.40000000002</v>
      </c>
      <c r="O23" s="7">
        <f>'Other Benefit 4'!B29</f>
        <v>0</v>
      </c>
      <c r="P23" s="157">
        <f t="shared" si="0"/>
        <v>78209282.040000007</v>
      </c>
      <c r="Q23" s="8">
        <f>IFERROR(((P23-G23)/(1.031)^(A23-Overview!$B$22))+((G23)/(1.02)^(A23-Overview!$B$22)),0)</f>
        <v>37588266.289145909</v>
      </c>
    </row>
    <row r="24" spans="1:17" x14ac:dyDescent="0.3">
      <c r="A24" s="1">
        <f>IF(A23&lt;'Project Information'!B$11,A23+1,"")</f>
        <v>2047</v>
      </c>
      <c r="B24" s="7">
        <f>'Operations and Maintenance'!D26</f>
        <v>636443.18999999994</v>
      </c>
      <c r="C24" s="7">
        <f>Safety!D40</f>
        <v>6962739</v>
      </c>
      <c r="D24" s="7">
        <f>'Travel Time Savings'!D38</f>
        <v>0</v>
      </c>
      <c r="E24" s="7">
        <f>'Vehicle Operating Cost Savings'!D44</f>
        <v>8307</v>
      </c>
      <c r="F24" s="21">
        <f>'Emissions Reduction'!S51</f>
        <v>135</v>
      </c>
      <c r="G24" s="21">
        <f>'Emissions Reduction'!T51</f>
        <v>1203.75</v>
      </c>
      <c r="H24" s="21">
        <f>'Other Highway Use Externalities'!B38</f>
        <v>0</v>
      </c>
      <c r="I24" s="7">
        <f>'Amenity Benefits'!B29</f>
        <v>0</v>
      </c>
      <c r="J24" s="7">
        <f>'Health Benefits'!B33</f>
        <v>209036.08000000002</v>
      </c>
      <c r="K24" s="7">
        <f>'Residual Value'!B41</f>
        <v>0</v>
      </c>
      <c r="L24" s="7">
        <f>'Other 1-CYCLING RECREATION'!B26</f>
        <v>35726419</v>
      </c>
      <c r="M24" s="7">
        <f>'Other 2-WALKING RECREATION'!B26</f>
        <v>35726419</v>
      </c>
      <c r="N24" s="7">
        <f>'Other 3-MOBILITY'!B26</f>
        <v>211466.40000000002</v>
      </c>
      <c r="O24" s="7">
        <f>'Other Benefit 4'!B30</f>
        <v>0</v>
      </c>
      <c r="P24" s="157">
        <f t="shared" si="0"/>
        <v>78209282.040000007</v>
      </c>
      <c r="Q24" s="8">
        <f>IFERROR(((P24-G24)/(1.031)^(A24-Overview!$B$22))+((G24)/(1.02)^(A24-Overview!$B$22)),0)</f>
        <v>36458074.064109161</v>
      </c>
    </row>
    <row r="25" spans="1:17" x14ac:dyDescent="0.3">
      <c r="A25" s="1">
        <f>IF(A24&lt;'Project Information'!B$11,A24+1,"")</f>
        <v>2048</v>
      </c>
      <c r="B25" s="7">
        <f>'Operations and Maintenance'!D27</f>
        <v>636443.18999999994</v>
      </c>
      <c r="C25" s="7">
        <f>Safety!D41</f>
        <v>6962739</v>
      </c>
      <c r="D25" s="7">
        <f>'Travel Time Savings'!D39</f>
        <v>0</v>
      </c>
      <c r="E25" s="7">
        <f>'Vehicle Operating Cost Savings'!D45</f>
        <v>8307</v>
      </c>
      <c r="F25" s="21">
        <f>'Emissions Reduction'!S52</f>
        <v>135</v>
      </c>
      <c r="G25" s="21">
        <f>'Emissions Reduction'!T52</f>
        <v>1203.75</v>
      </c>
      <c r="H25" s="21">
        <f>'Other Highway Use Externalities'!B39</f>
        <v>0</v>
      </c>
      <c r="I25" s="7">
        <f>'Amenity Benefits'!B30</f>
        <v>0</v>
      </c>
      <c r="J25" s="7">
        <f>'Health Benefits'!B34</f>
        <v>209036.08000000002</v>
      </c>
      <c r="K25" s="7">
        <f>'Residual Value'!B42</f>
        <v>0</v>
      </c>
      <c r="L25" s="7">
        <f>'Other 1-CYCLING RECREATION'!B27</f>
        <v>35726419</v>
      </c>
      <c r="M25" s="7">
        <f>'Other 2-WALKING RECREATION'!B27</f>
        <v>35726419</v>
      </c>
      <c r="N25" s="7">
        <f>'Other 3-MOBILITY'!B27</f>
        <v>211466.40000000002</v>
      </c>
      <c r="O25" s="7">
        <f>'Other Benefit 4'!B31</f>
        <v>0</v>
      </c>
      <c r="P25" s="157">
        <f t="shared" si="0"/>
        <v>78209282.040000007</v>
      </c>
      <c r="Q25" s="8">
        <f>IFERROR(((P25-G25)/(1.031)^(A25-Overview!$B$22))+((G25)/(1.02)^(A25-Overview!$B$22)),0)</f>
        <v>35361864.187008604</v>
      </c>
    </row>
    <row r="26" spans="1:17" x14ac:dyDescent="0.3">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1-CYCLING RECREATION'!B28</f>
        <v>0</v>
      </c>
      <c r="M26" s="7">
        <f>'Other 2-WALKING RECREATION'!B28</f>
        <v>0</v>
      </c>
      <c r="N26" s="7">
        <f>'Other 3-MOBILITY'!B28</f>
        <v>0</v>
      </c>
      <c r="O26" s="7">
        <f>'Other Benefit 4'!B32</f>
        <v>0</v>
      </c>
      <c r="P26" s="157">
        <f t="shared" si="0"/>
        <v>0</v>
      </c>
      <c r="Q26" s="8">
        <f>IFERROR(((P26-G26)/(1.031)^(A26-Overview!$B$22))+((G26)/(1.02)^(A26-Overview!$B$22)),0)</f>
        <v>0</v>
      </c>
    </row>
    <row r="27" spans="1:17" x14ac:dyDescent="0.3">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1-CYCLING RECREATION'!B29</f>
        <v>0</v>
      </c>
      <c r="M27" s="7">
        <f>'Other 2-WALKING RECREATION'!B29</f>
        <v>0</v>
      </c>
      <c r="N27" s="7">
        <f>'Other 3-MOBILITY'!B29</f>
        <v>0</v>
      </c>
      <c r="O27" s="7">
        <f>'Other Benefit 4'!B33</f>
        <v>0</v>
      </c>
      <c r="P27" s="157">
        <f t="shared" si="0"/>
        <v>0</v>
      </c>
      <c r="Q27" s="8">
        <f>IFERROR(((P27-G27)/(1.031)^(A27-Overview!$B$22))+((G27)/(1.02)^(A27-Overview!$B$22)),0)</f>
        <v>0</v>
      </c>
    </row>
    <row r="28" spans="1:17" x14ac:dyDescent="0.3">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1-CYCLING RECREATION'!B30</f>
        <v>0</v>
      </c>
      <c r="M28" s="7">
        <f>'Other 2-WALKING RECREATION'!B30</f>
        <v>0</v>
      </c>
      <c r="N28" s="7">
        <f>'Other 3-MOBILITY'!B30</f>
        <v>0</v>
      </c>
      <c r="O28" s="7">
        <f>'Other Benefit 4'!B34</f>
        <v>0</v>
      </c>
      <c r="P28" s="157">
        <f t="shared" si="0"/>
        <v>0</v>
      </c>
      <c r="Q28" s="8">
        <f>IFERROR(((P28-G28)/(1.031)^(A28-Overview!$B$22))+((G28)/(1.02)^(A28-Overview!$B$22)),0)</f>
        <v>0</v>
      </c>
    </row>
    <row r="29" spans="1:17" x14ac:dyDescent="0.3">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1-CYCLING RECREATION'!B31</f>
        <v>0</v>
      </c>
      <c r="M29" s="7">
        <f>'Other 2-WALKING RECREATION'!B31</f>
        <v>0</v>
      </c>
      <c r="N29" s="7">
        <f>'Other 3-MOBILITY'!B31</f>
        <v>0</v>
      </c>
      <c r="O29" s="7">
        <f>'Other Benefit 4'!B35</f>
        <v>0</v>
      </c>
      <c r="P29" s="157">
        <f t="shared" si="0"/>
        <v>0</v>
      </c>
      <c r="Q29" s="8">
        <f>IFERROR(((P29-G29)/(1.031)^(A29-Overview!$B$22))+((G29)/(1.02)^(A29-Overview!$B$22)),0)</f>
        <v>0</v>
      </c>
    </row>
    <row r="30" spans="1:17" x14ac:dyDescent="0.3">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1-CYCLING RECREATION'!B32</f>
        <v>0</v>
      </c>
      <c r="M30" s="7">
        <f>'Other 2-WALKING RECREATION'!B32</f>
        <v>0</v>
      </c>
      <c r="N30" s="7">
        <f>'Other 3-MOBILITY'!B32</f>
        <v>0</v>
      </c>
      <c r="O30" s="7">
        <f>'Other Benefit 4'!B36</f>
        <v>0</v>
      </c>
      <c r="P30" s="157">
        <f t="shared" si="0"/>
        <v>0</v>
      </c>
      <c r="Q30" s="8">
        <f>IFERROR(((P30-G30)/(1.031)^(A30-Overview!$B$22))+((G30)/(1.02)^(A30-Overview!$B$22)),0)</f>
        <v>0</v>
      </c>
    </row>
    <row r="31" spans="1:17" x14ac:dyDescent="0.3">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1-CYCLING RECREATION'!B33</f>
        <v>0</v>
      </c>
      <c r="M31" s="7">
        <f>'Other 2-WALKING RECREATION'!B33</f>
        <v>0</v>
      </c>
      <c r="N31" s="7">
        <f>'Other 3-MOBILITY'!B33</f>
        <v>0</v>
      </c>
      <c r="O31" s="7">
        <f>'Other Benefit 4'!B37</f>
        <v>0</v>
      </c>
      <c r="P31" s="157">
        <f t="shared" si="0"/>
        <v>0</v>
      </c>
      <c r="Q31" s="8">
        <f>IFERROR(((P31-G31)/(1.031)^(A31-Overview!$B$22))+((G31)/(1.02)^(A31-Overview!$B$22)),0)</f>
        <v>0</v>
      </c>
    </row>
    <row r="32" spans="1:17" x14ac:dyDescent="0.3">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1-CYCLING RECREATION'!B34</f>
        <v>0</v>
      </c>
      <c r="M32" s="7">
        <f>'Other 2-WALKING RECREATION'!B34</f>
        <v>0</v>
      </c>
      <c r="N32" s="7">
        <f>'Other 3-MOBILITY'!B34</f>
        <v>0</v>
      </c>
      <c r="O32" s="7">
        <f>'Other Benefit 4'!B38</f>
        <v>0</v>
      </c>
      <c r="P32" s="157">
        <f t="shared" si="0"/>
        <v>0</v>
      </c>
      <c r="Q32" s="8">
        <f>IFERROR(((P32-G32)/(1.031)^(A32-Overview!$B$22))+((G32)/(1.02)^(A32-Overview!$B$22)),0)</f>
        <v>0</v>
      </c>
    </row>
    <row r="33" spans="1:17" x14ac:dyDescent="0.3">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1-CYCLING RECREATION'!B35</f>
        <v>0</v>
      </c>
      <c r="M33" s="7">
        <f>'Other 2-WALKING RECREATION'!B35</f>
        <v>0</v>
      </c>
      <c r="N33" s="7">
        <f>'Other 3-MOBILITY'!B35</f>
        <v>0</v>
      </c>
      <c r="O33" s="7">
        <f>'Other Benefit 4'!B39</f>
        <v>0</v>
      </c>
      <c r="P33" s="157">
        <f t="shared" si="0"/>
        <v>0</v>
      </c>
      <c r="Q33" s="8">
        <f>IFERROR(((P33-G33)/(1.031)^(A33-Overview!$B$22))+((G33)/(1.02)^(A33-Overview!$B$22)),0)</f>
        <v>0</v>
      </c>
    </row>
    <row r="34" spans="1:17" x14ac:dyDescent="0.3">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1-CYCLING RECREATION'!B36</f>
        <v>0</v>
      </c>
      <c r="M34" s="7">
        <f>'Other 2-WALKING RECREATION'!B36</f>
        <v>0</v>
      </c>
      <c r="N34" s="7">
        <f>'Other 3-MOBILITY'!B36</f>
        <v>0</v>
      </c>
      <c r="O34" s="7">
        <f>'Other Benefit 4'!B40</f>
        <v>0</v>
      </c>
      <c r="P34" s="157">
        <f t="shared" si="0"/>
        <v>0</v>
      </c>
      <c r="Q34" s="8">
        <f>IFERROR(((P34-G34)/(1.031)^(A34-Overview!$B$22))+((G34)/(1.02)^(A34-Overview!$B$22)),0)</f>
        <v>0</v>
      </c>
    </row>
    <row r="35" spans="1:17" x14ac:dyDescent="0.3">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1-CYCLING RECREATION'!B37</f>
        <v>0</v>
      </c>
      <c r="M35" s="7">
        <f>'Other 2-WALKING RECREATION'!B37</f>
        <v>0</v>
      </c>
      <c r="N35" s="7">
        <f>'Other 3-MOBILITY'!B37</f>
        <v>0</v>
      </c>
      <c r="O35" s="7">
        <f>'Other Benefit 4'!B41</f>
        <v>0</v>
      </c>
      <c r="P35" s="157">
        <f t="shared" si="0"/>
        <v>0</v>
      </c>
      <c r="Q35" s="8">
        <f>IFERROR(((P35-G35)/(1.031)^(A35-Overview!$B$22))+((G35)/(1.02)^(A35-Overview!$B$22)),0)</f>
        <v>0</v>
      </c>
    </row>
    <row r="36" spans="1:17" x14ac:dyDescent="0.3">
      <c r="A36" s="3" t="s">
        <v>359</v>
      </c>
      <c r="B36" s="175">
        <f>SUM(B6:B35)</f>
        <v>12728863.799999993</v>
      </c>
      <c r="C36" s="175">
        <f t="shared" ref="C36:O36" si="1">SUM(C6:C35)</f>
        <v>139254780</v>
      </c>
      <c r="D36" s="175">
        <f t="shared" si="1"/>
        <v>0</v>
      </c>
      <c r="E36" s="175">
        <f t="shared" si="1"/>
        <v>166140</v>
      </c>
      <c r="F36" s="178">
        <f t="shared" si="1"/>
        <v>2700</v>
      </c>
      <c r="G36" s="178">
        <f t="shared" si="1"/>
        <v>24075</v>
      </c>
      <c r="H36" s="178">
        <f t="shared" si="1"/>
        <v>0</v>
      </c>
      <c r="I36" s="175">
        <f t="shared" si="1"/>
        <v>0</v>
      </c>
      <c r="J36" s="175">
        <f t="shared" si="1"/>
        <v>4180721.600000001</v>
      </c>
      <c r="K36" s="175">
        <f t="shared" si="1"/>
        <v>0</v>
      </c>
      <c r="L36" s="175">
        <f t="shared" si="1"/>
        <v>714528380</v>
      </c>
      <c r="M36" s="175">
        <f t="shared" si="1"/>
        <v>714528380</v>
      </c>
      <c r="N36" s="175">
        <f t="shared" si="1"/>
        <v>4229327.9999999991</v>
      </c>
      <c r="O36" s="175">
        <f t="shared" si="1"/>
        <v>0</v>
      </c>
      <c r="P36" s="176">
        <f>SUM(P6:P35)</f>
        <v>1564185640.7999997</v>
      </c>
      <c r="Q36" s="170"/>
    </row>
    <row r="37" spans="1:17" x14ac:dyDescent="0.3">
      <c r="A37" s="25" t="s">
        <v>179</v>
      </c>
      <c r="B37" s="175">
        <f>NPV(0.031,B6:B35)/(1.031)^($A$6-Overview!$B$22-1)</f>
        <v>7811424.436323001</v>
      </c>
      <c r="C37" s="175">
        <f>NPV(0.031,C6:C35)/(1.031)^($A$6-Overview!$B$22-1)</f>
        <v>85457603.165396705</v>
      </c>
      <c r="D37" s="175">
        <f>NPV(0.031,D6:D35)/(1.031)^($A$6-Overview!$B$22-1)</f>
        <v>0</v>
      </c>
      <c r="E37" s="175">
        <f>NPV(0.031,E6:E35)/(1.031)^($A$6-Overview!$B$22-1)</f>
        <v>101956.47280401445</v>
      </c>
      <c r="F37" s="37">
        <f>NPV(0.031,F6:F35)/(1.031)^($A$6-Overview!$B$22-1)</f>
        <v>1656.9307606286195</v>
      </c>
      <c r="G37" s="37">
        <f>NPV(0.02,G6:G35)/(1.02)^($A$6-Overview!$B$22-1)</f>
        <v>17477.974359526721</v>
      </c>
      <c r="H37" s="37">
        <f>NPV(0.031,H6:H35)/(1.031)^($A$6-Overview!$B$22-1)</f>
        <v>0</v>
      </c>
      <c r="I37" s="175">
        <f>NPV(0.031,I6:I35)/(1.031)^($A$6-Overview!$B$22-1)</f>
        <v>0</v>
      </c>
      <c r="J37" s="175">
        <f>NPV(0.031,J6:J35)/(1.031)^($A$6-Overview!$B$22-1)</f>
        <v>2565617.1187646301</v>
      </c>
      <c r="K37" s="175">
        <f>NPV(0.031,K6:K35)/(1.031)^($A$6-Overview!$B$22-1)</f>
        <v>0</v>
      </c>
      <c r="L37" s="175">
        <f>NPV(0.031,L6:L35)/(1.031)^($A$6-Overview!$B$22-1)</f>
        <v>438490389.69042045</v>
      </c>
      <c r="M37" s="175">
        <f>NPV(0.031,M6:M35)/(1.031)^($A$6-Overview!$B$22-1)</f>
        <v>438490389.69042045</v>
      </c>
      <c r="N37" s="175">
        <f>NPV(0.031,N6:N35)/(1.031)^($A$6-Overview!$B$22-1)</f>
        <v>2595445.7999955267</v>
      </c>
      <c r="O37" s="175">
        <f>NPV(0.031,O6:O35)/(1.031)^($A$6-Overview!$B$22-1)</f>
        <v>0</v>
      </c>
      <c r="P37" s="175">
        <f>NPV(0.031,P6:P35)/(1.031)^($A$6-Overview!$B$22-1)</f>
        <v>959906408.73152196</v>
      </c>
      <c r="Q37" s="170">
        <f>SUM(Q6:Q35)</f>
        <v>959909112.40659928</v>
      </c>
    </row>
    <row r="38" spans="1:17" x14ac:dyDescent="0.3">
      <c r="A38" s="5" t="s">
        <v>205</v>
      </c>
    </row>
    <row r="39" spans="1:17" x14ac:dyDescent="0.3">
      <c r="A39" s="97" t="s">
        <v>244</v>
      </c>
    </row>
    <row r="40" spans="1:17" x14ac:dyDescent="0.3">
      <c r="A40" s="110" t="s">
        <v>4</v>
      </c>
      <c r="B40" s="113" t="s">
        <v>5</v>
      </c>
      <c r="C40" s="108" t="s">
        <v>6</v>
      </c>
    </row>
    <row r="41" spans="1:17" x14ac:dyDescent="0.3">
      <c r="A41" s="121">
        <f>'Capital Costs'!A9</f>
        <v>2026</v>
      </c>
      <c r="B41" s="7">
        <f>'Capital Costs'!C9</f>
        <v>11977727.600000001</v>
      </c>
      <c r="C41" s="18">
        <f>B41/(1.031)^(A41-Overview!$B$22)</f>
        <v>10600827.581016999</v>
      </c>
    </row>
    <row r="42" spans="1:17" x14ac:dyDescent="0.3">
      <c r="A42" s="122">
        <f t="shared" ref="A42:A55" si="2">A41+1</f>
        <v>2027</v>
      </c>
      <c r="B42" s="7">
        <f>'Capital Costs'!C10</f>
        <v>11977727.600000001</v>
      </c>
      <c r="C42" s="18">
        <f>B42/(1.031)^(A42-Overview!$B$22)</f>
        <v>10282083.007775946</v>
      </c>
    </row>
    <row r="43" spans="1:17" x14ac:dyDescent="0.3">
      <c r="A43" s="122">
        <f t="shared" si="2"/>
        <v>2028</v>
      </c>
      <c r="B43" s="7">
        <f>'Capital Costs'!C11</f>
        <v>5988863.8000000007</v>
      </c>
      <c r="C43" s="18">
        <f>B43/(1.031)^(A43-Overview!$B$22)</f>
        <v>4986461.2064868798</v>
      </c>
    </row>
    <row r="44" spans="1:17" x14ac:dyDescent="0.3">
      <c r="A44" s="122">
        <f t="shared" si="2"/>
        <v>2029</v>
      </c>
      <c r="B44" s="7">
        <f>'Capital Costs'!C12</f>
        <v>0</v>
      </c>
      <c r="C44" s="18">
        <f>B44/(1.031)^(A44-Overview!$B$22)</f>
        <v>0</v>
      </c>
    </row>
    <row r="45" spans="1:17" x14ac:dyDescent="0.3">
      <c r="A45" s="122">
        <f t="shared" si="2"/>
        <v>2030</v>
      </c>
      <c r="B45" s="7">
        <f>'Capital Costs'!C13</f>
        <v>0</v>
      </c>
      <c r="C45" s="18">
        <f>B45/(1.031)^(A45-Overview!$B$22)</f>
        <v>0</v>
      </c>
      <c r="D45" s="36"/>
    </row>
    <row r="46" spans="1:17" x14ac:dyDescent="0.3">
      <c r="A46" s="122">
        <f t="shared" si="2"/>
        <v>2031</v>
      </c>
      <c r="B46" s="7">
        <f>'Capital Costs'!C14</f>
        <v>0</v>
      </c>
      <c r="C46" s="18">
        <f>B46/(1.031)^(A46-Overview!$B$22)</f>
        <v>0</v>
      </c>
      <c r="D46" s="36"/>
    </row>
    <row r="47" spans="1:17" x14ac:dyDescent="0.3">
      <c r="A47" s="122">
        <f t="shared" si="2"/>
        <v>2032</v>
      </c>
      <c r="B47" s="7">
        <f>'Capital Costs'!C15</f>
        <v>0</v>
      </c>
      <c r="C47" s="18">
        <f>B47/(1.031)^(A47-Overview!$B$22)</f>
        <v>0</v>
      </c>
      <c r="D47" s="36"/>
    </row>
    <row r="48" spans="1:17" x14ac:dyDescent="0.3">
      <c r="A48" s="122">
        <f t="shared" si="2"/>
        <v>2033</v>
      </c>
      <c r="B48" s="7">
        <f>'Capital Costs'!C16</f>
        <v>0</v>
      </c>
      <c r="C48" s="18">
        <f>B48/(1.031)^(A48-Overview!$B$22)</f>
        <v>0</v>
      </c>
      <c r="D48" s="36"/>
    </row>
    <row r="49" spans="1:4" x14ac:dyDescent="0.3">
      <c r="A49" s="122">
        <f t="shared" si="2"/>
        <v>2034</v>
      </c>
      <c r="B49" s="7">
        <f>'Capital Costs'!C17</f>
        <v>0</v>
      </c>
      <c r="C49" s="18">
        <f>B49/(1.031)^(A49-Overview!$B$22)</f>
        <v>0</v>
      </c>
      <c r="D49" s="36"/>
    </row>
    <row r="50" spans="1:4" x14ac:dyDescent="0.3">
      <c r="A50" s="122">
        <f t="shared" si="2"/>
        <v>2035</v>
      </c>
      <c r="B50" s="7">
        <f>'Capital Costs'!C18</f>
        <v>0</v>
      </c>
      <c r="C50" s="18">
        <f>B50/(1.031)^(A50-Overview!$B$22)</f>
        <v>0</v>
      </c>
    </row>
    <row r="51" spans="1:4" x14ac:dyDescent="0.3">
      <c r="A51" s="122">
        <f t="shared" si="2"/>
        <v>2036</v>
      </c>
      <c r="B51" s="7">
        <f>'Capital Costs'!C19</f>
        <v>0</v>
      </c>
      <c r="C51" s="18">
        <f>B51/(1.031)^(A51-Overview!$B$22)</f>
        <v>0</v>
      </c>
    </row>
    <row r="52" spans="1:4" x14ac:dyDescent="0.3">
      <c r="A52" s="122">
        <f t="shared" si="2"/>
        <v>2037</v>
      </c>
      <c r="B52" s="7">
        <f>'Capital Costs'!C20</f>
        <v>0</v>
      </c>
      <c r="C52" s="18">
        <f>B52/(1.031)^(A52-Overview!$B$22)</f>
        <v>0</v>
      </c>
    </row>
    <row r="53" spans="1:4" x14ac:dyDescent="0.3">
      <c r="A53" s="122">
        <f t="shared" si="2"/>
        <v>2038</v>
      </c>
      <c r="B53" s="7">
        <f>'Capital Costs'!C21</f>
        <v>0</v>
      </c>
      <c r="C53" s="18">
        <f>B53/(1.031)^(A53-Overview!$B$22)</f>
        <v>0</v>
      </c>
    </row>
    <row r="54" spans="1:4" x14ac:dyDescent="0.3">
      <c r="A54" s="122">
        <f t="shared" si="2"/>
        <v>2039</v>
      </c>
      <c r="B54" s="7">
        <f>'Capital Costs'!C22</f>
        <v>0</v>
      </c>
      <c r="C54" s="18">
        <f>B54/(1.031)^(A54-Overview!$B$22)</f>
        <v>0</v>
      </c>
    </row>
    <row r="55" spans="1:4" x14ac:dyDescent="0.3">
      <c r="A55" s="122">
        <f t="shared" si="2"/>
        <v>2040</v>
      </c>
      <c r="B55" s="7">
        <f>'Capital Costs'!C23</f>
        <v>0</v>
      </c>
      <c r="C55" s="18">
        <f>B55/(1.031)^(A55-Overview!$B$22)</f>
        <v>0</v>
      </c>
    </row>
    <row r="56" spans="1:4" x14ac:dyDescent="0.3">
      <c r="A56" s="25" t="s">
        <v>21</v>
      </c>
      <c r="B56" s="175">
        <f>SUM(B41:B55)</f>
        <v>29944319.000000004</v>
      </c>
      <c r="C56" s="177">
        <f>SUM(C41:C55)+'Capital Costs'!A5</f>
        <v>25869371.795279823</v>
      </c>
      <c r="D56" s="36"/>
    </row>
    <row r="57" spans="1:4" x14ac:dyDescent="0.3">
      <c r="C57" s="36"/>
      <c r="D57" s="36"/>
    </row>
    <row r="58" spans="1:4" x14ac:dyDescent="0.3">
      <c r="C58" s="36"/>
      <c r="D58" s="36"/>
    </row>
    <row r="59" spans="1:4" x14ac:dyDescent="0.3">
      <c r="C59" s="36"/>
      <c r="D59" s="36"/>
    </row>
    <row r="60" spans="1:4" x14ac:dyDescent="0.3">
      <c r="C60" s="36"/>
      <c r="D60" s="36"/>
    </row>
    <row r="61" spans="1:4" x14ac:dyDescent="0.3">
      <c r="C61" s="36"/>
      <c r="D61" s="36"/>
    </row>
    <row r="62" spans="1:4" x14ac:dyDescent="0.3">
      <c r="C62" s="36"/>
      <c r="D62" s="36"/>
    </row>
    <row r="63" spans="1:4" x14ac:dyDescent="0.3">
      <c r="D63" s="36"/>
    </row>
    <row r="65" spans="3:3" x14ac:dyDescent="0.3">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
  <sheetViews>
    <sheetView tabSelected="1" workbookViewId="0">
      <selection activeCell="B8" sqref="B8"/>
    </sheetView>
  </sheetViews>
  <sheetFormatPr defaultColWidth="8.6640625" defaultRowHeight="14.4" x14ac:dyDescent="0.3"/>
  <cols>
    <col min="1" max="1" width="56.33203125" style="5" customWidth="1"/>
    <col min="2" max="16384" width="8.6640625" style="5"/>
  </cols>
  <sheetData>
    <row r="1" spans="1:5" ht="20.399999999999999" thickBot="1" x14ac:dyDescent="0.45">
      <c r="A1" s="96" t="s">
        <v>211</v>
      </c>
    </row>
    <row r="2" spans="1:5" ht="15" thickTop="1" x14ac:dyDescent="0.3">
      <c r="A2" s="152" t="s">
        <v>180</v>
      </c>
      <c r="B2" s="152"/>
      <c r="C2" s="152"/>
      <c r="D2" s="152"/>
      <c r="E2" s="152"/>
    </row>
    <row r="3" spans="1:5" x14ac:dyDescent="0.3">
      <c r="A3" s="5" t="s">
        <v>205</v>
      </c>
    </row>
    <row r="4" spans="1:5" x14ac:dyDescent="0.3">
      <c r="A4" s="97" t="s">
        <v>212</v>
      </c>
    </row>
    <row r="5" spans="1:5" x14ac:dyDescent="0.3">
      <c r="A5" s="100" t="s">
        <v>213</v>
      </c>
      <c r="B5" s="101" t="s">
        <v>214</v>
      </c>
    </row>
    <row r="6" spans="1:5" x14ac:dyDescent="0.3">
      <c r="A6" s="43" t="s">
        <v>160</v>
      </c>
      <c r="B6" s="98">
        <f>Overview!B22</f>
        <v>2022</v>
      </c>
    </row>
    <row r="7" spans="1:5" x14ac:dyDescent="0.3">
      <c r="A7" s="43" t="s">
        <v>315</v>
      </c>
      <c r="B7" s="23">
        <v>2026</v>
      </c>
      <c r="C7" s="5" t="s">
        <v>337</v>
      </c>
    </row>
    <row r="8" spans="1:5" x14ac:dyDescent="0.3">
      <c r="A8" s="43" t="s">
        <v>165</v>
      </c>
      <c r="B8" s="23">
        <v>3</v>
      </c>
      <c r="C8" s="5" t="s">
        <v>167</v>
      </c>
    </row>
    <row r="9" spans="1:5" x14ac:dyDescent="0.3">
      <c r="A9" s="43" t="s">
        <v>164</v>
      </c>
      <c r="B9" s="98">
        <f>B7+B8</f>
        <v>2029</v>
      </c>
    </row>
    <row r="10" spans="1:5" x14ac:dyDescent="0.3">
      <c r="A10" s="43" t="s">
        <v>166</v>
      </c>
      <c r="B10" s="23">
        <v>20</v>
      </c>
      <c r="C10" s="5" t="s">
        <v>353</v>
      </c>
    </row>
    <row r="11" spans="1:5" x14ac:dyDescent="0.3">
      <c r="A11" s="43" t="s">
        <v>170</v>
      </c>
      <c r="B11" s="99">
        <f>B7+B8+B10-1</f>
        <v>2048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8"/>
  <sheetViews>
    <sheetView workbookViewId="0">
      <selection activeCell="B8" sqref="B8"/>
    </sheetView>
  </sheetViews>
  <sheetFormatPr defaultColWidth="8.6640625" defaultRowHeight="14.4" x14ac:dyDescent="0.3"/>
  <cols>
    <col min="1" max="1" width="41.33203125" style="5" customWidth="1"/>
    <col min="2" max="2" width="31.44140625" style="5" customWidth="1"/>
    <col min="3" max="16384" width="8.6640625" style="5"/>
  </cols>
  <sheetData>
    <row r="1" spans="1:3" ht="20.399999999999999" thickBot="1" x14ac:dyDescent="0.45">
      <c r="A1" s="96" t="s">
        <v>220</v>
      </c>
    </row>
    <row r="2" spans="1:3" ht="18.600000000000001" thickTop="1" x14ac:dyDescent="0.3">
      <c r="A2" s="104" t="s">
        <v>205</v>
      </c>
    </row>
    <row r="3" spans="1:3" x14ac:dyDescent="0.3">
      <c r="A3" s="97" t="s">
        <v>217</v>
      </c>
    </row>
    <row r="4" spans="1:3" x14ac:dyDescent="0.3">
      <c r="A4" s="106" t="s">
        <v>33</v>
      </c>
      <c r="B4" s="106" t="s">
        <v>214</v>
      </c>
    </row>
    <row r="5" spans="1:3" x14ac:dyDescent="0.3">
      <c r="A5" s="98" t="s">
        <v>0</v>
      </c>
      <c r="B5" s="105">
        <f>Summary!Q37</f>
        <v>959909112.40659928</v>
      </c>
    </row>
    <row r="6" spans="1:3" x14ac:dyDescent="0.3">
      <c r="A6" s="98" t="s">
        <v>1</v>
      </c>
      <c r="B6" s="105">
        <f>Summary!C56</f>
        <v>25869371.795279823</v>
      </c>
    </row>
    <row r="7" spans="1:3" x14ac:dyDescent="0.3">
      <c r="A7" s="98" t="s">
        <v>2</v>
      </c>
      <c r="B7" s="105">
        <f>B5-B6</f>
        <v>934039740.61131942</v>
      </c>
    </row>
    <row r="8" spans="1:3" x14ac:dyDescent="0.3">
      <c r="A8" s="98" t="s">
        <v>3</v>
      </c>
      <c r="B8" s="145">
        <f>IFERROR(B5/B6, "Enter Costs in 'Capital Cost' sheet")</f>
        <v>37.1060078305321</v>
      </c>
      <c r="C8" s="5" t="s">
        <v>266</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242"/>
  <sheetViews>
    <sheetView zoomScaleNormal="100" workbookViewId="0">
      <selection activeCell="C15" sqref="C15"/>
    </sheetView>
  </sheetViews>
  <sheetFormatPr defaultRowHeight="14.4" x14ac:dyDescent="0.3"/>
  <cols>
    <col min="1" max="1" width="48.88671875" customWidth="1"/>
    <col min="2" max="2" width="27.33203125" customWidth="1"/>
    <col min="3" max="3" width="22.5546875" customWidth="1"/>
    <col min="4" max="4" width="19" customWidth="1"/>
    <col min="5" max="5" width="13.5546875" customWidth="1"/>
    <col min="6" max="6" width="12" customWidth="1"/>
  </cols>
  <sheetData>
    <row r="1" spans="1:6" ht="21" x14ac:dyDescent="0.4">
      <c r="A1" s="56" t="s">
        <v>204</v>
      </c>
      <c r="B1" s="57"/>
      <c r="C1" s="57"/>
      <c r="D1" s="57"/>
      <c r="E1" s="71"/>
      <c r="F1" s="71"/>
    </row>
    <row r="2" spans="1:6" x14ac:dyDescent="0.3">
      <c r="A2" s="152" t="s">
        <v>329</v>
      </c>
      <c r="B2" s="152"/>
      <c r="C2" s="152"/>
      <c r="D2" s="152"/>
      <c r="E2" s="152"/>
      <c r="F2" s="161"/>
    </row>
    <row r="3" spans="1:6" x14ac:dyDescent="0.3">
      <c r="A3" s="61" t="s">
        <v>328</v>
      </c>
      <c r="F3" s="60"/>
    </row>
    <row r="4" spans="1:6" x14ac:dyDescent="0.3">
      <c r="A4" s="62" t="s">
        <v>205</v>
      </c>
      <c r="F4" s="60"/>
    </row>
    <row r="5" spans="1:6" x14ac:dyDescent="0.3">
      <c r="A5" s="63" t="s">
        <v>267</v>
      </c>
      <c r="B5" s="64"/>
      <c r="C5" s="64"/>
      <c r="D5" s="64"/>
      <c r="E5" s="64"/>
      <c r="F5" s="60"/>
    </row>
    <row r="6" spans="1:6" ht="17.25" customHeight="1" x14ac:dyDescent="0.3">
      <c r="A6" s="66" t="s">
        <v>22</v>
      </c>
      <c r="B6" s="66" t="s">
        <v>324</v>
      </c>
      <c r="C6" s="64"/>
      <c r="D6" s="64"/>
      <c r="E6" s="64"/>
      <c r="F6" s="60"/>
    </row>
    <row r="7" spans="1:6" x14ac:dyDescent="0.3">
      <c r="A7" s="67" t="s">
        <v>23</v>
      </c>
      <c r="B7" s="68">
        <v>5000</v>
      </c>
      <c r="C7" s="64"/>
      <c r="D7" s="64"/>
      <c r="E7" s="64"/>
      <c r="F7" s="60"/>
    </row>
    <row r="8" spans="1:6" x14ac:dyDescent="0.3">
      <c r="A8" s="67" t="s">
        <v>24</v>
      </c>
      <c r="B8" s="68">
        <v>111700</v>
      </c>
      <c r="C8" s="64"/>
      <c r="D8" s="64"/>
      <c r="E8" s="64"/>
      <c r="F8" s="60"/>
    </row>
    <row r="9" spans="1:6" x14ac:dyDescent="0.3">
      <c r="A9" s="67" t="s">
        <v>25</v>
      </c>
      <c r="B9" s="68">
        <v>233800</v>
      </c>
      <c r="C9" s="64"/>
      <c r="D9" s="64"/>
      <c r="E9" s="64"/>
      <c r="F9" s="60"/>
    </row>
    <row r="10" spans="1:6" x14ac:dyDescent="0.3">
      <c r="A10" s="67" t="s">
        <v>26</v>
      </c>
      <c r="B10" s="68">
        <v>1188200</v>
      </c>
      <c r="C10" s="64"/>
      <c r="D10" s="64"/>
      <c r="E10" s="64"/>
      <c r="F10" s="60"/>
    </row>
    <row r="11" spans="1:6" x14ac:dyDescent="0.3">
      <c r="A11" s="67" t="s">
        <v>27</v>
      </c>
      <c r="B11" s="68">
        <v>12500000</v>
      </c>
      <c r="C11" s="64"/>
      <c r="D11" s="64"/>
      <c r="E11" s="64"/>
      <c r="F11" s="60"/>
    </row>
    <row r="12" spans="1:6" x14ac:dyDescent="0.3">
      <c r="A12" s="67" t="s">
        <v>28</v>
      </c>
      <c r="B12" s="68">
        <v>217600</v>
      </c>
      <c r="C12" s="64"/>
      <c r="D12" s="64"/>
      <c r="E12" s="64"/>
      <c r="F12" s="60"/>
    </row>
    <row r="13" spans="1:6" x14ac:dyDescent="0.3">
      <c r="A13" s="63" t="s">
        <v>360</v>
      </c>
      <c r="B13" s="64"/>
      <c r="C13" s="64"/>
      <c r="D13" s="64"/>
      <c r="E13" s="64"/>
      <c r="F13" s="60"/>
    </row>
    <row r="14" spans="1:6" x14ac:dyDescent="0.3">
      <c r="A14" s="66" t="s">
        <v>29</v>
      </c>
      <c r="B14" s="66" t="s">
        <v>324</v>
      </c>
      <c r="C14" s="64"/>
      <c r="D14" s="64"/>
      <c r="E14" s="64"/>
      <c r="F14" s="60"/>
    </row>
    <row r="15" spans="1:6" x14ac:dyDescent="0.3">
      <c r="A15" s="67" t="s">
        <v>268</v>
      </c>
      <c r="B15" s="68">
        <v>9100</v>
      </c>
      <c r="C15" s="64"/>
      <c r="D15" s="64"/>
      <c r="E15" s="64"/>
      <c r="F15" s="60"/>
    </row>
    <row r="16" spans="1:6" x14ac:dyDescent="0.3">
      <c r="A16" s="67" t="s">
        <v>30</v>
      </c>
      <c r="B16" s="68">
        <v>313000</v>
      </c>
      <c r="C16" s="64"/>
      <c r="D16" s="64"/>
      <c r="E16" s="64"/>
      <c r="F16" s="60"/>
    </row>
    <row r="17" spans="1:6" x14ac:dyDescent="0.3">
      <c r="A17" s="67" t="s">
        <v>31</v>
      </c>
      <c r="B17" s="68">
        <v>14022900</v>
      </c>
      <c r="C17" s="64"/>
      <c r="D17" s="64"/>
      <c r="E17" s="64"/>
      <c r="F17" s="60"/>
    </row>
    <row r="18" spans="1:6" x14ac:dyDescent="0.3">
      <c r="A18" s="65" t="s">
        <v>205</v>
      </c>
      <c r="B18" s="64"/>
      <c r="C18" s="64"/>
      <c r="D18" s="64"/>
      <c r="E18" s="64"/>
      <c r="F18" s="60"/>
    </row>
    <row r="19" spans="1:6" x14ac:dyDescent="0.3">
      <c r="A19" s="63" t="s">
        <v>269</v>
      </c>
      <c r="B19" s="64"/>
      <c r="C19" s="64"/>
      <c r="D19" s="64"/>
      <c r="E19" s="64"/>
      <c r="F19" s="60"/>
    </row>
    <row r="20" spans="1:6" ht="15" customHeight="1" x14ac:dyDescent="0.3">
      <c r="A20" s="287" t="s">
        <v>32</v>
      </c>
      <c r="B20" s="287"/>
      <c r="C20" s="64"/>
      <c r="D20" s="64"/>
      <c r="E20" s="64"/>
      <c r="F20" s="60"/>
    </row>
    <row r="21" spans="1:6" x14ac:dyDescent="0.3">
      <c r="A21" s="287" t="s">
        <v>270</v>
      </c>
      <c r="B21" s="287"/>
      <c r="C21" s="64"/>
      <c r="D21" s="64"/>
      <c r="E21" s="64"/>
      <c r="F21" s="60"/>
    </row>
    <row r="22" spans="1:6" x14ac:dyDescent="0.3">
      <c r="A22" s="66" t="s">
        <v>33</v>
      </c>
      <c r="B22" s="66" t="s">
        <v>34</v>
      </c>
      <c r="C22" s="64"/>
      <c r="D22" s="64"/>
      <c r="E22" s="64"/>
      <c r="F22" s="60"/>
    </row>
    <row r="23" spans="1:6" x14ac:dyDescent="0.3">
      <c r="A23" s="67" t="s">
        <v>35</v>
      </c>
      <c r="B23" s="69"/>
      <c r="C23" s="64"/>
      <c r="D23" s="64"/>
      <c r="E23" s="64"/>
      <c r="F23" s="60"/>
    </row>
    <row r="24" spans="1:6" ht="16.8" x14ac:dyDescent="0.3">
      <c r="A24" s="67" t="s">
        <v>40</v>
      </c>
      <c r="B24" s="70">
        <v>17.899999999999999</v>
      </c>
      <c r="C24" s="64"/>
      <c r="D24" s="64"/>
      <c r="E24" s="64"/>
      <c r="F24" s="60"/>
    </row>
    <row r="25" spans="1:6" ht="16.8" x14ac:dyDescent="0.3">
      <c r="A25" s="67" t="s">
        <v>41</v>
      </c>
      <c r="B25" s="70">
        <v>32.299999999999997</v>
      </c>
      <c r="C25" s="64"/>
      <c r="D25" s="64"/>
      <c r="E25" s="64"/>
      <c r="F25" s="60"/>
    </row>
    <row r="26" spans="1:6" ht="16.8" x14ac:dyDescent="0.3">
      <c r="A26" s="67" t="s">
        <v>42</v>
      </c>
      <c r="B26" s="70">
        <v>19.600000000000001</v>
      </c>
      <c r="C26" s="64"/>
      <c r="D26" s="64"/>
      <c r="E26" s="64"/>
      <c r="F26" s="60"/>
    </row>
    <row r="27" spans="1:6" x14ac:dyDescent="0.3">
      <c r="A27" s="67"/>
      <c r="B27" s="70"/>
      <c r="C27" s="64"/>
      <c r="D27" s="64"/>
      <c r="E27" s="64"/>
      <c r="F27" s="60"/>
    </row>
    <row r="28" spans="1:6" ht="16.8" x14ac:dyDescent="0.3">
      <c r="A28" s="67" t="s">
        <v>43</v>
      </c>
      <c r="B28" s="70">
        <v>35.799999999999997</v>
      </c>
      <c r="C28" s="64"/>
      <c r="D28" s="64"/>
      <c r="E28" s="64"/>
      <c r="F28" s="60"/>
    </row>
    <row r="29" spans="1:6" x14ac:dyDescent="0.3">
      <c r="A29" s="69"/>
      <c r="B29" s="70"/>
      <c r="C29" s="64"/>
      <c r="D29" s="64"/>
      <c r="E29" s="64"/>
      <c r="F29" s="60"/>
    </row>
    <row r="30" spans="1:6" ht="16.8" x14ac:dyDescent="0.3">
      <c r="A30" s="67" t="s">
        <v>44</v>
      </c>
      <c r="B30" s="70"/>
      <c r="C30" s="64"/>
      <c r="D30" s="64"/>
      <c r="E30" s="64"/>
      <c r="F30" s="60"/>
    </row>
    <row r="31" spans="1:6" x14ac:dyDescent="0.3">
      <c r="A31" s="67" t="s">
        <v>36</v>
      </c>
      <c r="B31" s="70">
        <v>33.5</v>
      </c>
      <c r="C31" s="64"/>
      <c r="D31" s="64"/>
      <c r="E31" s="64"/>
      <c r="F31" s="60"/>
    </row>
    <row r="32" spans="1:6" x14ac:dyDescent="0.3">
      <c r="A32" s="67" t="s">
        <v>37</v>
      </c>
      <c r="B32" s="70">
        <v>36.5</v>
      </c>
      <c r="C32" s="64"/>
      <c r="D32" s="64"/>
      <c r="E32" s="64"/>
      <c r="F32" s="60"/>
    </row>
    <row r="33" spans="1:6" x14ac:dyDescent="0.3">
      <c r="A33" s="67" t="s">
        <v>38</v>
      </c>
      <c r="B33" s="70">
        <v>63.3</v>
      </c>
      <c r="C33" s="64"/>
      <c r="D33" s="64"/>
      <c r="E33" s="64"/>
      <c r="F33" s="60"/>
    </row>
    <row r="34" spans="1:6" x14ac:dyDescent="0.3">
      <c r="A34" s="67" t="s">
        <v>39</v>
      </c>
      <c r="B34" s="70">
        <v>53.5</v>
      </c>
      <c r="C34" s="64"/>
      <c r="D34" s="64"/>
      <c r="E34" s="64"/>
      <c r="F34" s="60"/>
    </row>
    <row r="35" spans="1:6" x14ac:dyDescent="0.3">
      <c r="A35" s="73"/>
      <c r="B35" s="74"/>
      <c r="C35" s="64"/>
      <c r="D35" s="64"/>
      <c r="E35" s="64"/>
      <c r="F35" s="60"/>
    </row>
    <row r="36" spans="1:6" ht="83.25" customHeight="1" x14ac:dyDescent="0.3">
      <c r="A36" s="288" t="s">
        <v>271</v>
      </c>
      <c r="B36" s="289"/>
      <c r="C36" s="64"/>
      <c r="D36" s="64"/>
      <c r="E36" s="64"/>
      <c r="F36" s="60"/>
    </row>
    <row r="37" spans="1:6" ht="54" customHeight="1" x14ac:dyDescent="0.3">
      <c r="A37" s="288" t="s">
        <v>45</v>
      </c>
      <c r="B37" s="289"/>
      <c r="C37" s="64"/>
      <c r="D37" s="64"/>
      <c r="E37" s="64"/>
      <c r="F37" s="60"/>
    </row>
    <row r="38" spans="1:6" ht="58.5" customHeight="1" x14ac:dyDescent="0.3">
      <c r="A38" s="288" t="s">
        <v>272</v>
      </c>
      <c r="B38" s="289"/>
      <c r="C38" s="64"/>
      <c r="D38" s="64"/>
      <c r="E38" s="64"/>
      <c r="F38" s="60"/>
    </row>
    <row r="39" spans="1:6" ht="25.5" customHeight="1" x14ac:dyDescent="0.3">
      <c r="A39" s="292" t="s">
        <v>46</v>
      </c>
      <c r="B39" s="293"/>
      <c r="C39" s="64"/>
      <c r="D39" s="64"/>
      <c r="E39" s="64"/>
      <c r="F39" s="60"/>
    </row>
    <row r="40" spans="1:6" ht="23.25" customHeight="1" x14ac:dyDescent="0.3">
      <c r="A40" s="294" t="s">
        <v>47</v>
      </c>
      <c r="B40" s="295"/>
      <c r="C40" s="64"/>
      <c r="D40" s="64"/>
      <c r="E40" s="64"/>
      <c r="F40" s="60"/>
    </row>
    <row r="41" spans="1:6" x14ac:dyDescent="0.3">
      <c r="A41" s="5" t="s">
        <v>205</v>
      </c>
      <c r="B41" s="64"/>
      <c r="C41" s="64"/>
      <c r="D41" s="64"/>
      <c r="E41" s="64"/>
      <c r="F41" s="60"/>
    </row>
    <row r="42" spans="1:6" x14ac:dyDescent="0.3">
      <c r="A42" s="63" t="s">
        <v>273</v>
      </c>
      <c r="B42" s="64"/>
      <c r="C42" s="64"/>
      <c r="D42" s="64"/>
      <c r="E42" s="64"/>
      <c r="F42" s="60"/>
    </row>
    <row r="43" spans="1:6" x14ac:dyDescent="0.3">
      <c r="A43" s="75" t="s">
        <v>48</v>
      </c>
      <c r="B43" s="76" t="s">
        <v>49</v>
      </c>
      <c r="C43" s="64"/>
      <c r="D43" s="64"/>
      <c r="E43" s="64"/>
      <c r="F43" s="60"/>
    </row>
    <row r="44" spans="1:6" ht="16.8" x14ac:dyDescent="0.3">
      <c r="A44" s="67" t="s">
        <v>53</v>
      </c>
      <c r="B44" s="77">
        <v>1.48</v>
      </c>
      <c r="C44" s="64"/>
      <c r="D44" s="64"/>
      <c r="E44" s="64"/>
      <c r="F44" s="60"/>
    </row>
    <row r="45" spans="1:6" x14ac:dyDescent="0.3">
      <c r="A45" s="67" t="s">
        <v>50</v>
      </c>
      <c r="B45" s="77">
        <v>1.58</v>
      </c>
      <c r="C45" s="64"/>
      <c r="D45" s="64"/>
      <c r="E45" s="64"/>
      <c r="F45" s="60"/>
    </row>
    <row r="46" spans="1:6" x14ac:dyDescent="0.3">
      <c r="A46" s="67" t="s">
        <v>51</v>
      </c>
      <c r="B46" s="77">
        <v>2.02</v>
      </c>
      <c r="C46" s="64"/>
      <c r="D46" s="64"/>
      <c r="E46" s="64"/>
      <c r="F46" s="60"/>
    </row>
    <row r="47" spans="1:6" x14ac:dyDescent="0.3">
      <c r="A47" s="67" t="s">
        <v>52</v>
      </c>
      <c r="B47" s="77">
        <v>1.67</v>
      </c>
      <c r="C47" s="64"/>
      <c r="D47" s="64"/>
      <c r="E47" s="64"/>
      <c r="F47" s="60"/>
    </row>
    <row r="48" spans="1:6" x14ac:dyDescent="0.3">
      <c r="A48" s="65"/>
      <c r="B48" s="72"/>
      <c r="C48" s="64"/>
      <c r="D48" s="64"/>
      <c r="E48" s="64"/>
      <c r="F48" s="60"/>
    </row>
    <row r="49" spans="1:6" ht="45" customHeight="1" x14ac:dyDescent="0.3">
      <c r="A49" s="296" t="s">
        <v>54</v>
      </c>
      <c r="B49" s="297"/>
      <c r="C49" s="64"/>
      <c r="D49" s="64"/>
      <c r="E49" s="64"/>
      <c r="F49" s="60"/>
    </row>
    <row r="50" spans="1:6" x14ac:dyDescent="0.3">
      <c r="A50" s="5" t="s">
        <v>205</v>
      </c>
      <c r="B50" s="64"/>
      <c r="C50" s="64"/>
      <c r="D50" s="64"/>
      <c r="E50" s="64"/>
      <c r="F50" s="60"/>
    </row>
    <row r="51" spans="1:6" x14ac:dyDescent="0.3">
      <c r="A51" s="162" t="s">
        <v>274</v>
      </c>
      <c r="B51" s="64"/>
      <c r="C51" s="64"/>
      <c r="D51" s="64"/>
      <c r="E51" s="64"/>
      <c r="F51" s="60"/>
    </row>
    <row r="52" spans="1:6" ht="30" customHeight="1" x14ac:dyDescent="0.3">
      <c r="A52" s="75" t="s">
        <v>48</v>
      </c>
      <c r="B52" s="76" t="s">
        <v>275</v>
      </c>
      <c r="C52" s="64"/>
      <c r="D52" s="64"/>
      <c r="E52" s="64"/>
      <c r="F52" s="60"/>
    </row>
    <row r="53" spans="1:6" ht="16.8" x14ac:dyDescent="0.3">
      <c r="A53" s="67" t="s">
        <v>77</v>
      </c>
      <c r="B53" s="78">
        <v>0.52</v>
      </c>
      <c r="C53" s="64"/>
      <c r="D53" s="64"/>
      <c r="E53" s="64"/>
      <c r="F53" s="60"/>
    </row>
    <row r="54" spans="1:6" ht="16.8" x14ac:dyDescent="0.3">
      <c r="A54" s="67" t="s">
        <v>78</v>
      </c>
      <c r="B54" s="78">
        <v>1.32</v>
      </c>
      <c r="C54" s="64"/>
      <c r="D54" s="64"/>
      <c r="E54" s="64"/>
      <c r="F54" s="60"/>
    </row>
    <row r="55" spans="1:6" x14ac:dyDescent="0.3">
      <c r="A55" s="65"/>
      <c r="B55" s="72"/>
      <c r="C55" s="64"/>
      <c r="D55" s="64"/>
      <c r="E55" s="64"/>
      <c r="F55" s="60"/>
    </row>
    <row r="56" spans="1:6" ht="68.25" customHeight="1" x14ac:dyDescent="0.3">
      <c r="A56" s="288" t="s">
        <v>55</v>
      </c>
      <c r="B56" s="289"/>
      <c r="C56" s="64"/>
      <c r="D56" s="64"/>
      <c r="E56" s="64"/>
      <c r="F56" s="60"/>
    </row>
    <row r="57" spans="1:6" ht="72" customHeight="1" x14ac:dyDescent="0.3">
      <c r="A57" s="296" t="s">
        <v>56</v>
      </c>
      <c r="B57" s="297"/>
      <c r="C57" s="64"/>
      <c r="D57" s="64"/>
      <c r="E57" s="64"/>
      <c r="F57" s="60"/>
    </row>
    <row r="58" spans="1:6" x14ac:dyDescent="0.3">
      <c r="A58" s="5" t="s">
        <v>205</v>
      </c>
      <c r="B58" s="64"/>
      <c r="C58" s="64"/>
      <c r="D58" s="64"/>
      <c r="E58" s="64"/>
      <c r="F58" s="60"/>
    </row>
    <row r="59" spans="1:6" x14ac:dyDescent="0.3">
      <c r="A59" s="63" t="s">
        <v>276</v>
      </c>
      <c r="B59" s="64"/>
      <c r="C59" s="64"/>
      <c r="D59" s="64"/>
      <c r="E59" s="64"/>
      <c r="F59" s="60"/>
    </row>
    <row r="60" spans="1:6" x14ac:dyDescent="0.3">
      <c r="A60" s="79"/>
      <c r="B60" s="306" t="s">
        <v>288</v>
      </c>
      <c r="C60" s="307"/>
      <c r="D60" s="308"/>
      <c r="E60" s="64"/>
      <c r="F60" s="60"/>
    </row>
    <row r="61" spans="1:6" ht="16.8" x14ac:dyDescent="0.3">
      <c r="A61" s="79" t="s">
        <v>278</v>
      </c>
      <c r="B61" s="79" t="s">
        <v>290</v>
      </c>
      <c r="C61" s="79" t="s">
        <v>291</v>
      </c>
      <c r="D61" s="79" t="s">
        <v>292</v>
      </c>
      <c r="E61" s="64"/>
      <c r="F61" s="60"/>
    </row>
    <row r="62" spans="1:6" x14ac:dyDescent="0.3">
      <c r="A62" s="125" t="s">
        <v>279</v>
      </c>
      <c r="B62" s="125"/>
      <c r="C62" s="125"/>
      <c r="D62" s="126"/>
      <c r="E62" s="64"/>
      <c r="F62" s="60"/>
    </row>
    <row r="63" spans="1:6" x14ac:dyDescent="0.3">
      <c r="A63" s="67" t="s">
        <v>280</v>
      </c>
      <c r="B63" s="123">
        <v>273</v>
      </c>
      <c r="C63" s="123">
        <v>749</v>
      </c>
      <c r="D63" s="123">
        <v>28</v>
      </c>
      <c r="E63" s="64"/>
      <c r="F63" s="60"/>
    </row>
    <row r="64" spans="1:6" x14ac:dyDescent="0.3">
      <c r="A64" s="67" t="s">
        <v>281</v>
      </c>
      <c r="B64" s="123">
        <v>299</v>
      </c>
      <c r="C64" s="123">
        <v>102</v>
      </c>
      <c r="D64" s="123">
        <v>26</v>
      </c>
      <c r="E64" s="64"/>
      <c r="F64" s="60"/>
    </row>
    <row r="65" spans="1:6" x14ac:dyDescent="0.3">
      <c r="A65" s="67" t="s">
        <v>282</v>
      </c>
      <c r="B65" s="123">
        <v>747</v>
      </c>
      <c r="C65" s="123">
        <v>102</v>
      </c>
      <c r="D65" s="123">
        <v>26</v>
      </c>
      <c r="E65" s="64"/>
      <c r="F65" s="60"/>
    </row>
    <row r="66" spans="1:6" x14ac:dyDescent="0.3">
      <c r="A66" s="67" t="s">
        <v>283</v>
      </c>
      <c r="B66" s="123">
        <v>331</v>
      </c>
      <c r="C66" s="123">
        <v>102</v>
      </c>
      <c r="D66" s="123">
        <v>26</v>
      </c>
      <c r="E66" s="64"/>
      <c r="F66" s="60"/>
    </row>
    <row r="67" spans="1:6" x14ac:dyDescent="0.3">
      <c r="A67" s="125" t="s">
        <v>284</v>
      </c>
      <c r="B67" s="125"/>
      <c r="C67" s="125"/>
      <c r="D67" s="127"/>
      <c r="E67" s="64"/>
      <c r="F67" s="60"/>
    </row>
    <row r="68" spans="1:6" x14ac:dyDescent="0.3">
      <c r="A68" s="67" t="s">
        <v>280</v>
      </c>
      <c r="B68" s="123">
        <v>799</v>
      </c>
      <c r="C68" s="123">
        <v>2202</v>
      </c>
      <c r="D68" s="123">
        <v>280</v>
      </c>
      <c r="E68" s="64"/>
      <c r="F68" s="60"/>
    </row>
    <row r="69" spans="1:6" x14ac:dyDescent="0.3">
      <c r="A69" s="67" t="s">
        <v>281</v>
      </c>
      <c r="B69" s="123">
        <v>778</v>
      </c>
      <c r="C69" s="123">
        <v>727</v>
      </c>
      <c r="D69" s="123">
        <v>218</v>
      </c>
      <c r="E69" s="64"/>
      <c r="F69" s="60"/>
    </row>
    <row r="70" spans="1:6" x14ac:dyDescent="0.3">
      <c r="A70" s="67" t="s">
        <v>282</v>
      </c>
      <c r="B70" s="123">
        <v>1226</v>
      </c>
      <c r="C70" s="123">
        <v>727</v>
      </c>
      <c r="D70" s="123">
        <v>218</v>
      </c>
      <c r="E70" s="64"/>
      <c r="F70" s="60"/>
    </row>
    <row r="71" spans="1:6" x14ac:dyDescent="0.3">
      <c r="A71" s="67" t="s">
        <v>283</v>
      </c>
      <c r="B71" s="123">
        <v>810</v>
      </c>
      <c r="C71" s="123">
        <v>727</v>
      </c>
      <c r="D71" s="123">
        <v>218</v>
      </c>
      <c r="E71" s="64"/>
      <c r="F71" s="60"/>
    </row>
    <row r="72" spans="1:6" x14ac:dyDescent="0.3">
      <c r="A72" s="125" t="s">
        <v>285</v>
      </c>
      <c r="B72" s="125"/>
      <c r="C72" s="125"/>
      <c r="D72" s="128"/>
      <c r="E72" s="64"/>
      <c r="F72" s="60"/>
    </row>
    <row r="73" spans="1:6" x14ac:dyDescent="0.3">
      <c r="A73" s="67" t="s">
        <v>286</v>
      </c>
      <c r="B73" s="70">
        <v>1.03</v>
      </c>
      <c r="C73" s="124" t="s">
        <v>102</v>
      </c>
      <c r="D73" s="124" t="s">
        <v>102</v>
      </c>
      <c r="E73" s="64"/>
      <c r="F73" s="60"/>
    </row>
    <row r="74" spans="1:6" ht="27.9" customHeight="1" x14ac:dyDescent="0.3">
      <c r="A74" s="309" t="s">
        <v>289</v>
      </c>
      <c r="B74" s="309"/>
      <c r="C74" s="309"/>
      <c r="D74" s="310"/>
      <c r="E74" s="64"/>
      <c r="F74" s="60"/>
    </row>
    <row r="75" spans="1:6" ht="57.6" customHeight="1" x14ac:dyDescent="0.3">
      <c r="A75" s="304" t="s">
        <v>293</v>
      </c>
      <c r="B75" s="304"/>
      <c r="C75" s="304"/>
      <c r="D75" s="305"/>
      <c r="E75" s="64"/>
      <c r="F75" s="60"/>
    </row>
    <row r="76" spans="1:6" x14ac:dyDescent="0.3">
      <c r="A76" s="5" t="s">
        <v>205</v>
      </c>
      <c r="B76" s="64"/>
      <c r="C76" s="64"/>
      <c r="D76" s="64"/>
      <c r="E76" s="64"/>
      <c r="F76" s="60"/>
    </row>
    <row r="77" spans="1:6" x14ac:dyDescent="0.3">
      <c r="A77" s="63" t="s">
        <v>58</v>
      </c>
      <c r="B77" s="64"/>
      <c r="C77" s="64"/>
      <c r="D77" s="64"/>
      <c r="E77" s="64"/>
      <c r="F77" s="60"/>
    </row>
    <row r="78" spans="1:6" ht="16.2" x14ac:dyDescent="0.3">
      <c r="A78" s="79" t="s">
        <v>57</v>
      </c>
      <c r="B78" s="76" t="s">
        <v>207</v>
      </c>
      <c r="C78" s="76" t="s">
        <v>208</v>
      </c>
      <c r="D78" s="76" t="s">
        <v>209</v>
      </c>
      <c r="E78" s="76" t="s">
        <v>210</v>
      </c>
      <c r="F78" s="60"/>
    </row>
    <row r="79" spans="1:6" x14ac:dyDescent="0.3">
      <c r="A79" s="67">
        <v>2023</v>
      </c>
      <c r="B79" s="68">
        <v>19800</v>
      </c>
      <c r="C79" s="68">
        <v>52900</v>
      </c>
      <c r="D79" s="68">
        <v>951000</v>
      </c>
      <c r="E79" s="68">
        <v>228.37600706009624</v>
      </c>
      <c r="F79" s="60"/>
    </row>
    <row r="80" spans="1:6" x14ac:dyDescent="0.3">
      <c r="A80" s="67">
        <v>2024</v>
      </c>
      <c r="B80" s="68">
        <v>20100</v>
      </c>
      <c r="C80" s="68">
        <v>53800</v>
      </c>
      <c r="D80" s="68">
        <v>963200</v>
      </c>
      <c r="E80" s="68">
        <v>232.85396798284322</v>
      </c>
      <c r="F80" s="60"/>
    </row>
    <row r="81" spans="1:6" x14ac:dyDescent="0.3">
      <c r="A81" s="67">
        <v>2025</v>
      </c>
      <c r="B81" s="68">
        <v>20300</v>
      </c>
      <c r="C81" s="68">
        <v>54800</v>
      </c>
      <c r="D81" s="68">
        <v>975500</v>
      </c>
      <c r="E81" s="68">
        <v>237.33192890559022</v>
      </c>
      <c r="F81" s="60"/>
    </row>
    <row r="82" spans="1:6" x14ac:dyDescent="0.3">
      <c r="A82" s="67">
        <v>2026</v>
      </c>
      <c r="B82" s="68">
        <v>20600</v>
      </c>
      <c r="C82" s="68">
        <v>56100</v>
      </c>
      <c r="D82" s="68">
        <v>993500</v>
      </c>
      <c r="E82" s="68">
        <v>240.69039959765044</v>
      </c>
      <c r="F82" s="60"/>
    </row>
    <row r="83" spans="1:6" x14ac:dyDescent="0.3">
      <c r="A83" s="67">
        <v>2027</v>
      </c>
      <c r="B83" s="68">
        <v>21000</v>
      </c>
      <c r="C83" s="68">
        <v>57400</v>
      </c>
      <c r="D83" s="68">
        <v>1011900</v>
      </c>
      <c r="E83" s="68">
        <v>245.16836052039741</v>
      </c>
      <c r="F83" s="60"/>
    </row>
    <row r="84" spans="1:6" x14ac:dyDescent="0.3">
      <c r="A84" s="67">
        <v>2028</v>
      </c>
      <c r="B84" s="68">
        <v>21300</v>
      </c>
      <c r="C84" s="68">
        <v>58700</v>
      </c>
      <c r="D84" s="68">
        <v>1030600</v>
      </c>
      <c r="E84" s="68">
        <v>249.64632144314442</v>
      </c>
      <c r="F84" s="60"/>
    </row>
    <row r="85" spans="1:6" x14ac:dyDescent="0.3">
      <c r="A85" s="67">
        <v>2029</v>
      </c>
      <c r="B85" s="68">
        <v>21700</v>
      </c>
      <c r="C85" s="68">
        <v>60100</v>
      </c>
      <c r="D85" s="68">
        <v>1049600</v>
      </c>
      <c r="E85" s="68">
        <v>253.00479213520464</v>
      </c>
      <c r="F85" s="60"/>
    </row>
    <row r="86" spans="1:6" x14ac:dyDescent="0.3">
      <c r="A86" s="67">
        <v>2030</v>
      </c>
      <c r="B86" s="68">
        <v>22000</v>
      </c>
      <c r="C86" s="68">
        <v>61500</v>
      </c>
      <c r="D86" s="68">
        <v>1069000</v>
      </c>
      <c r="E86" s="68">
        <v>257.48275305795164</v>
      </c>
      <c r="F86" s="60"/>
    </row>
    <row r="87" spans="1:6" x14ac:dyDescent="0.3">
      <c r="A87" s="67">
        <v>2031</v>
      </c>
      <c r="B87" s="68">
        <v>22000</v>
      </c>
      <c r="C87" s="68">
        <v>61500</v>
      </c>
      <c r="D87" s="68">
        <v>1069000</v>
      </c>
      <c r="E87" s="68">
        <v>261.96071398069864</v>
      </c>
      <c r="F87" s="60"/>
    </row>
    <row r="88" spans="1:6" x14ac:dyDescent="0.3">
      <c r="A88" s="67">
        <v>2032</v>
      </c>
      <c r="B88" s="68">
        <v>22000</v>
      </c>
      <c r="C88" s="68">
        <v>61500</v>
      </c>
      <c r="D88" s="68">
        <v>1069000</v>
      </c>
      <c r="E88" s="68">
        <v>265.31918467275887</v>
      </c>
      <c r="F88" s="60"/>
    </row>
    <row r="89" spans="1:6" x14ac:dyDescent="0.3">
      <c r="A89" s="67">
        <v>2033</v>
      </c>
      <c r="B89" s="68">
        <v>22000</v>
      </c>
      <c r="C89" s="68">
        <v>61500</v>
      </c>
      <c r="D89" s="68">
        <v>1069000</v>
      </c>
      <c r="E89" s="68">
        <v>269.79714559550587</v>
      </c>
      <c r="F89" s="60"/>
    </row>
    <row r="90" spans="1:6" x14ac:dyDescent="0.3">
      <c r="A90" s="67">
        <v>2034</v>
      </c>
      <c r="B90" s="68">
        <v>22000</v>
      </c>
      <c r="C90" s="68">
        <v>61500</v>
      </c>
      <c r="D90" s="68">
        <v>1069000</v>
      </c>
      <c r="E90" s="68">
        <v>274.27510651825281</v>
      </c>
      <c r="F90" s="60"/>
    </row>
    <row r="91" spans="1:6" x14ac:dyDescent="0.3">
      <c r="A91" s="67">
        <v>2035</v>
      </c>
      <c r="B91" s="68">
        <v>22000</v>
      </c>
      <c r="C91" s="68">
        <v>61500</v>
      </c>
      <c r="D91" s="68">
        <v>1069000</v>
      </c>
      <c r="E91" s="68">
        <v>277.63357721031309</v>
      </c>
      <c r="F91" s="60"/>
    </row>
    <row r="92" spans="1:6" x14ac:dyDescent="0.3">
      <c r="A92" s="67">
        <v>2036</v>
      </c>
      <c r="B92" s="68">
        <v>22000</v>
      </c>
      <c r="C92" s="68">
        <v>61500</v>
      </c>
      <c r="D92" s="68">
        <v>1069000</v>
      </c>
      <c r="E92" s="68">
        <v>282.11153813306004</v>
      </c>
      <c r="F92" s="60"/>
    </row>
    <row r="93" spans="1:6" x14ac:dyDescent="0.3">
      <c r="A93" s="67">
        <v>2037</v>
      </c>
      <c r="B93" s="68">
        <v>22000</v>
      </c>
      <c r="C93" s="68">
        <v>61500</v>
      </c>
      <c r="D93" s="68">
        <v>1069000</v>
      </c>
      <c r="E93" s="68">
        <v>286.58949905580704</v>
      </c>
      <c r="F93" s="60"/>
    </row>
    <row r="94" spans="1:6" x14ac:dyDescent="0.3">
      <c r="A94" s="67">
        <v>2038</v>
      </c>
      <c r="B94" s="68">
        <v>22000</v>
      </c>
      <c r="C94" s="68">
        <v>61500</v>
      </c>
      <c r="D94" s="68">
        <v>1069000</v>
      </c>
      <c r="E94" s="68">
        <v>289.94796974786726</v>
      </c>
      <c r="F94" s="60"/>
    </row>
    <row r="95" spans="1:6" x14ac:dyDescent="0.3">
      <c r="A95" s="67">
        <v>2039</v>
      </c>
      <c r="B95" s="68">
        <v>22000</v>
      </c>
      <c r="C95" s="68">
        <v>61500</v>
      </c>
      <c r="D95" s="68">
        <v>1069000</v>
      </c>
      <c r="E95" s="68">
        <v>294.42593067061426</v>
      </c>
      <c r="F95" s="60"/>
    </row>
    <row r="96" spans="1:6" x14ac:dyDescent="0.3">
      <c r="A96" s="67">
        <v>2040</v>
      </c>
      <c r="B96" s="68">
        <v>22000</v>
      </c>
      <c r="C96" s="68">
        <v>61500</v>
      </c>
      <c r="D96" s="68">
        <v>1069000</v>
      </c>
      <c r="E96" s="68">
        <v>298.90389159336127</v>
      </c>
      <c r="F96" s="60"/>
    </row>
    <row r="97" spans="1:6" x14ac:dyDescent="0.3">
      <c r="A97" s="67">
        <v>2041</v>
      </c>
      <c r="B97" s="68">
        <v>22000</v>
      </c>
      <c r="C97" s="68">
        <v>61500</v>
      </c>
      <c r="D97" s="68">
        <v>1069000</v>
      </c>
      <c r="E97" s="68">
        <v>303.38185251610821</v>
      </c>
      <c r="F97" s="60"/>
    </row>
    <row r="98" spans="1:6" x14ac:dyDescent="0.3">
      <c r="A98" s="67">
        <v>2042</v>
      </c>
      <c r="B98" s="68">
        <v>22000</v>
      </c>
      <c r="C98" s="68">
        <v>61500</v>
      </c>
      <c r="D98" s="68">
        <v>1069000</v>
      </c>
      <c r="E98" s="68">
        <v>307.85981343885521</v>
      </c>
      <c r="F98" s="60"/>
    </row>
    <row r="99" spans="1:6" x14ac:dyDescent="0.3">
      <c r="A99" s="67">
        <v>2043</v>
      </c>
      <c r="B99" s="68">
        <v>22000</v>
      </c>
      <c r="C99" s="68">
        <v>61500</v>
      </c>
      <c r="D99" s="68">
        <v>1069000</v>
      </c>
      <c r="E99" s="68">
        <v>312.33777436160221</v>
      </c>
      <c r="F99" s="60"/>
    </row>
    <row r="100" spans="1:6" x14ac:dyDescent="0.3">
      <c r="A100" s="67">
        <v>2044</v>
      </c>
      <c r="B100" s="68">
        <v>22000</v>
      </c>
      <c r="C100" s="68">
        <v>61500</v>
      </c>
      <c r="D100" s="68">
        <v>1069000</v>
      </c>
      <c r="E100" s="68">
        <v>316.81573528434916</v>
      </c>
      <c r="F100" s="60"/>
    </row>
    <row r="101" spans="1:6" x14ac:dyDescent="0.3">
      <c r="A101" s="67">
        <v>2045</v>
      </c>
      <c r="B101" s="68">
        <v>22000</v>
      </c>
      <c r="C101" s="68">
        <v>61500</v>
      </c>
      <c r="D101" s="68">
        <v>1069000</v>
      </c>
      <c r="E101" s="68">
        <v>321.29369620709616</v>
      </c>
      <c r="F101" s="60"/>
    </row>
    <row r="102" spans="1:6" x14ac:dyDescent="0.3">
      <c r="A102" s="67">
        <v>2046</v>
      </c>
      <c r="B102" s="68">
        <v>22000</v>
      </c>
      <c r="C102" s="68">
        <v>61500</v>
      </c>
      <c r="D102" s="68">
        <v>1069000</v>
      </c>
      <c r="E102" s="68">
        <v>325.77165712984316</v>
      </c>
      <c r="F102" s="60"/>
    </row>
    <row r="103" spans="1:6" x14ac:dyDescent="0.3">
      <c r="A103" s="67">
        <v>2047</v>
      </c>
      <c r="B103" s="68">
        <v>22000</v>
      </c>
      <c r="C103" s="68">
        <v>61500</v>
      </c>
      <c r="D103" s="68">
        <v>1069000</v>
      </c>
      <c r="E103" s="68">
        <v>331.36910828327689</v>
      </c>
      <c r="F103" s="60"/>
    </row>
    <row r="104" spans="1:6" x14ac:dyDescent="0.3">
      <c r="A104" s="67">
        <v>2048</v>
      </c>
      <c r="B104" s="68">
        <v>22000</v>
      </c>
      <c r="C104" s="68">
        <v>61500</v>
      </c>
      <c r="D104" s="68">
        <v>1069000</v>
      </c>
      <c r="E104" s="68">
        <v>335.84706920602389</v>
      </c>
      <c r="F104" s="60"/>
    </row>
    <row r="105" spans="1:6" x14ac:dyDescent="0.3">
      <c r="A105" s="67">
        <v>2049</v>
      </c>
      <c r="B105" s="68">
        <v>22000</v>
      </c>
      <c r="C105" s="68">
        <v>61500</v>
      </c>
      <c r="D105" s="68">
        <v>1069000</v>
      </c>
      <c r="E105" s="68">
        <v>340.32503012877083</v>
      </c>
      <c r="F105" s="60"/>
    </row>
    <row r="106" spans="1:6" x14ac:dyDescent="0.3">
      <c r="A106" s="67">
        <v>2050</v>
      </c>
      <c r="B106" s="68">
        <v>22000</v>
      </c>
      <c r="C106" s="68">
        <v>61500</v>
      </c>
      <c r="D106" s="68">
        <v>1069000</v>
      </c>
      <c r="E106" s="68">
        <v>344.80299105151784</v>
      </c>
      <c r="F106" s="60"/>
    </row>
    <row r="107" spans="1:6" x14ac:dyDescent="0.3">
      <c r="A107" s="67">
        <v>2051</v>
      </c>
      <c r="B107" s="68">
        <v>22000</v>
      </c>
      <c r="C107" s="68">
        <v>61500</v>
      </c>
      <c r="D107" s="68">
        <v>1069000</v>
      </c>
      <c r="E107" s="68">
        <v>349.28095197426484</v>
      </c>
      <c r="F107" s="60"/>
    </row>
    <row r="108" spans="1:6" x14ac:dyDescent="0.3">
      <c r="A108" s="67">
        <v>2052</v>
      </c>
      <c r="B108" s="68">
        <v>22000</v>
      </c>
      <c r="C108" s="68">
        <v>61500</v>
      </c>
      <c r="D108" s="68">
        <v>1069000</v>
      </c>
      <c r="E108" s="82">
        <v>352.63942266632506</v>
      </c>
      <c r="F108" s="60"/>
    </row>
    <row r="109" spans="1:6" x14ac:dyDescent="0.3">
      <c r="A109" s="67">
        <v>2053</v>
      </c>
      <c r="B109" s="68">
        <v>22000</v>
      </c>
      <c r="C109" s="68">
        <v>61500</v>
      </c>
      <c r="D109" s="68">
        <v>1069000</v>
      </c>
      <c r="E109" s="82">
        <v>357.11738358907206</v>
      </c>
      <c r="F109" s="60"/>
    </row>
    <row r="110" spans="1:6" x14ac:dyDescent="0.3">
      <c r="A110" s="80"/>
      <c r="B110" s="81"/>
      <c r="C110" s="81"/>
      <c r="D110" s="81"/>
      <c r="E110" s="82"/>
      <c r="F110" s="60"/>
    </row>
    <row r="111" spans="1:6" x14ac:dyDescent="0.3">
      <c r="A111" s="298" t="s">
        <v>277</v>
      </c>
      <c r="B111" s="299"/>
      <c r="C111" s="299"/>
      <c r="D111" s="299"/>
      <c r="E111" s="300"/>
      <c r="F111" s="60"/>
    </row>
    <row r="112" spans="1:6" ht="16.2" x14ac:dyDescent="0.3">
      <c r="A112" s="301" t="s">
        <v>79</v>
      </c>
      <c r="B112" s="302"/>
      <c r="C112" s="302"/>
      <c r="D112" s="302"/>
      <c r="E112" s="303"/>
      <c r="F112" s="60"/>
    </row>
    <row r="113" spans="1:6" x14ac:dyDescent="0.3">
      <c r="A113" s="5" t="s">
        <v>205</v>
      </c>
      <c r="B113" s="64"/>
      <c r="C113" s="64"/>
      <c r="D113" s="64"/>
      <c r="E113" s="64"/>
      <c r="F113" s="60"/>
    </row>
    <row r="114" spans="1:6" x14ac:dyDescent="0.3">
      <c r="A114" s="63" t="s">
        <v>59</v>
      </c>
      <c r="B114" s="64"/>
      <c r="C114" s="64"/>
      <c r="D114" s="64"/>
      <c r="E114" s="64"/>
      <c r="F114" s="60"/>
    </row>
    <row r="115" spans="1:6" ht="34.5" customHeight="1" x14ac:dyDescent="0.3">
      <c r="A115" s="75" t="s">
        <v>60</v>
      </c>
      <c r="B115" s="76" t="s">
        <v>294</v>
      </c>
      <c r="C115" s="64"/>
      <c r="D115" s="64"/>
      <c r="E115" s="64"/>
      <c r="F115" s="60"/>
    </row>
    <row r="116" spans="1:6" x14ac:dyDescent="0.3">
      <c r="A116" s="83">
        <v>2003</v>
      </c>
      <c r="B116" s="77">
        <v>1.53</v>
      </c>
      <c r="C116" s="64"/>
      <c r="D116" s="64"/>
      <c r="E116" s="64"/>
      <c r="F116" s="60"/>
    </row>
    <row r="117" spans="1:6" x14ac:dyDescent="0.3">
      <c r="A117" s="83">
        <v>2004</v>
      </c>
      <c r="B117" s="77">
        <v>1.49</v>
      </c>
      <c r="C117" s="64"/>
      <c r="D117" s="64"/>
      <c r="E117" s="64"/>
      <c r="F117" s="60"/>
    </row>
    <row r="118" spans="1:6" x14ac:dyDescent="0.3">
      <c r="A118" s="83">
        <v>2005</v>
      </c>
      <c r="B118" s="77">
        <v>1.45</v>
      </c>
      <c r="C118" s="64"/>
      <c r="D118" s="64"/>
      <c r="E118" s="64"/>
      <c r="F118" s="60"/>
    </row>
    <row r="119" spans="1:6" x14ac:dyDescent="0.3">
      <c r="A119" s="83">
        <v>2006</v>
      </c>
      <c r="B119" s="77">
        <v>1.4</v>
      </c>
      <c r="C119" s="64"/>
      <c r="D119" s="64"/>
      <c r="E119" s="64"/>
      <c r="F119" s="60"/>
    </row>
    <row r="120" spans="1:6" x14ac:dyDescent="0.3">
      <c r="A120" s="83">
        <v>2007</v>
      </c>
      <c r="B120" s="77">
        <v>1.37</v>
      </c>
      <c r="C120" s="64"/>
      <c r="D120" s="64"/>
      <c r="E120" s="64"/>
      <c r="F120" s="60"/>
    </row>
    <row r="121" spans="1:6" x14ac:dyDescent="0.3">
      <c r="A121" s="83">
        <v>2008</v>
      </c>
      <c r="B121" s="77">
        <v>1.34</v>
      </c>
      <c r="C121" s="64"/>
      <c r="D121" s="64"/>
      <c r="E121" s="64"/>
      <c r="F121" s="60"/>
    </row>
    <row r="122" spans="1:6" x14ac:dyDescent="0.3">
      <c r="A122" s="83">
        <v>2009</v>
      </c>
      <c r="B122" s="77">
        <v>1.33</v>
      </c>
      <c r="C122" s="64"/>
      <c r="D122" s="64"/>
      <c r="E122" s="64"/>
      <c r="F122" s="60"/>
    </row>
    <row r="123" spans="1:6" x14ac:dyDescent="0.3">
      <c r="A123" s="83">
        <v>2010</v>
      </c>
      <c r="B123" s="77">
        <v>1.32</v>
      </c>
      <c r="C123" s="64"/>
      <c r="D123" s="64"/>
      <c r="E123" s="64"/>
      <c r="F123" s="60"/>
    </row>
    <row r="124" spans="1:6" x14ac:dyDescent="0.3">
      <c r="A124" s="83">
        <v>2011</v>
      </c>
      <c r="B124" s="77">
        <v>1.29</v>
      </c>
      <c r="C124" s="64"/>
      <c r="D124" s="64"/>
      <c r="E124" s="64"/>
      <c r="F124" s="60"/>
    </row>
    <row r="125" spans="1:6" x14ac:dyDescent="0.3">
      <c r="A125" s="83">
        <v>2012</v>
      </c>
      <c r="B125" s="77">
        <v>1.27</v>
      </c>
      <c r="C125" s="64"/>
      <c r="D125" s="64"/>
      <c r="E125" s="64"/>
      <c r="F125" s="60"/>
    </row>
    <row r="126" spans="1:6" x14ac:dyDescent="0.3">
      <c r="A126" s="83">
        <v>2013</v>
      </c>
      <c r="B126" s="77">
        <v>1.24</v>
      </c>
      <c r="C126" s="64"/>
      <c r="D126" s="64"/>
      <c r="E126" s="64"/>
      <c r="F126" s="60"/>
    </row>
    <row r="127" spans="1:6" x14ac:dyDescent="0.3">
      <c r="A127" s="83">
        <v>2014</v>
      </c>
      <c r="B127" s="77">
        <v>1.22</v>
      </c>
      <c r="C127" s="64"/>
      <c r="D127" s="64"/>
      <c r="E127" s="64"/>
      <c r="F127" s="60"/>
    </row>
    <row r="128" spans="1:6" x14ac:dyDescent="0.3">
      <c r="A128" s="83">
        <v>2015</v>
      </c>
      <c r="B128" s="77">
        <v>1.21</v>
      </c>
      <c r="C128" s="64"/>
      <c r="D128" s="64"/>
      <c r="E128" s="64"/>
      <c r="F128" s="60"/>
    </row>
    <row r="129" spans="1:6" x14ac:dyDescent="0.3">
      <c r="A129" s="83">
        <v>2016</v>
      </c>
      <c r="B129" s="77">
        <v>1.2</v>
      </c>
      <c r="C129" s="64"/>
      <c r="D129" s="64"/>
      <c r="E129" s="64"/>
      <c r="F129" s="60"/>
    </row>
    <row r="130" spans="1:6" x14ac:dyDescent="0.3">
      <c r="A130" s="83">
        <v>2017</v>
      </c>
      <c r="B130" s="77">
        <v>1.18</v>
      </c>
      <c r="C130" s="64"/>
      <c r="D130" s="64"/>
      <c r="E130" s="64"/>
      <c r="F130" s="60"/>
    </row>
    <row r="131" spans="1:6" x14ac:dyDescent="0.3">
      <c r="A131" s="83">
        <v>2018</v>
      </c>
      <c r="B131" s="77">
        <v>1.1499999999999999</v>
      </c>
      <c r="C131" s="64"/>
      <c r="D131" s="64"/>
      <c r="E131" s="64"/>
      <c r="F131" s="60"/>
    </row>
    <row r="132" spans="1:6" x14ac:dyDescent="0.3">
      <c r="A132" s="83">
        <v>2019</v>
      </c>
      <c r="B132" s="77">
        <v>1.1299999999999999</v>
      </c>
      <c r="C132" s="64"/>
      <c r="D132" s="64"/>
      <c r="E132" s="64"/>
      <c r="F132" s="60"/>
    </row>
    <row r="133" spans="1:6" x14ac:dyDescent="0.3">
      <c r="A133" s="83">
        <v>2020</v>
      </c>
      <c r="B133" s="77">
        <v>1.1200000000000001</v>
      </c>
      <c r="C133" s="64"/>
      <c r="D133" s="64"/>
      <c r="E133" s="64"/>
      <c r="F133" s="60"/>
    </row>
    <row r="134" spans="1:6" x14ac:dyDescent="0.3">
      <c r="A134" s="83">
        <v>2021</v>
      </c>
      <c r="B134" s="77">
        <v>1.07</v>
      </c>
      <c r="C134" s="64"/>
      <c r="D134" s="64"/>
      <c r="E134" s="64"/>
      <c r="F134" s="60"/>
    </row>
    <row r="135" spans="1:6" x14ac:dyDescent="0.3">
      <c r="A135" s="83">
        <v>2022</v>
      </c>
      <c r="B135" s="77">
        <v>1</v>
      </c>
      <c r="C135" s="64"/>
      <c r="D135" s="64"/>
      <c r="E135" s="64"/>
      <c r="F135" s="60"/>
    </row>
    <row r="136" spans="1:6" x14ac:dyDescent="0.3">
      <c r="A136" s="5" t="s">
        <v>205</v>
      </c>
      <c r="B136" s="64"/>
      <c r="C136" s="64"/>
      <c r="D136" s="64"/>
      <c r="E136" s="64"/>
      <c r="F136" s="60"/>
    </row>
    <row r="137" spans="1:6" x14ac:dyDescent="0.3">
      <c r="A137" s="63" t="s">
        <v>61</v>
      </c>
      <c r="B137" s="64"/>
      <c r="C137" s="64"/>
      <c r="D137" s="64"/>
      <c r="E137" s="64"/>
      <c r="F137" s="60"/>
    </row>
    <row r="138" spans="1:6" ht="51.75" customHeight="1" x14ac:dyDescent="0.3">
      <c r="A138" s="75" t="s">
        <v>62</v>
      </c>
      <c r="B138" s="76" t="s">
        <v>295</v>
      </c>
      <c r="C138" s="64"/>
      <c r="D138" s="64"/>
      <c r="E138" s="64"/>
      <c r="F138" s="60"/>
    </row>
    <row r="139" spans="1:6" ht="16.8" x14ac:dyDescent="0.3">
      <c r="A139" s="84" t="s">
        <v>80</v>
      </c>
      <c r="B139" s="70">
        <v>0.11</v>
      </c>
      <c r="C139" s="64"/>
      <c r="D139" s="64"/>
      <c r="E139" s="64"/>
      <c r="F139" s="60"/>
    </row>
    <row r="140" spans="1:6" x14ac:dyDescent="0.3">
      <c r="A140" s="84" t="s">
        <v>63</v>
      </c>
      <c r="B140" s="70">
        <v>1.1100000000000001</v>
      </c>
      <c r="C140" s="64"/>
      <c r="D140" s="64"/>
      <c r="E140" s="64"/>
      <c r="F140" s="60"/>
    </row>
    <row r="141" spans="1:6" x14ac:dyDescent="0.3">
      <c r="A141" s="84" t="s">
        <v>81</v>
      </c>
      <c r="B141" s="70">
        <v>0.09</v>
      </c>
      <c r="C141" s="64"/>
      <c r="D141" s="64"/>
      <c r="E141" s="64"/>
      <c r="F141" s="60"/>
    </row>
    <row r="142" spans="1:6" ht="30" customHeight="1" x14ac:dyDescent="0.3">
      <c r="A142" s="85" t="s">
        <v>64</v>
      </c>
      <c r="B142" s="86">
        <v>1E-3</v>
      </c>
      <c r="C142" s="64"/>
      <c r="D142" s="64"/>
      <c r="E142" s="64"/>
      <c r="F142" s="60"/>
    </row>
    <row r="143" spans="1:6" x14ac:dyDescent="0.3">
      <c r="A143" s="5" t="s">
        <v>205</v>
      </c>
      <c r="B143" s="4"/>
      <c r="C143" s="64"/>
      <c r="D143" s="64"/>
      <c r="E143" s="64"/>
      <c r="F143" s="60"/>
    </row>
    <row r="144" spans="1:6" ht="30.6" x14ac:dyDescent="0.3">
      <c r="A144" s="75" t="s">
        <v>62</v>
      </c>
      <c r="B144" s="76" t="s">
        <v>296</v>
      </c>
      <c r="C144" s="64"/>
      <c r="D144" s="64"/>
      <c r="E144" s="64"/>
      <c r="F144" s="60"/>
    </row>
    <row r="145" spans="1:6" ht="34.5" customHeight="1" x14ac:dyDescent="0.3">
      <c r="A145" s="85" t="s">
        <v>82</v>
      </c>
      <c r="B145" s="70">
        <v>0.19</v>
      </c>
      <c r="C145" s="64"/>
      <c r="D145" s="64"/>
      <c r="E145" s="64"/>
      <c r="F145" s="60"/>
    </row>
    <row r="146" spans="1:6" ht="35.25" customHeight="1" x14ac:dyDescent="0.3">
      <c r="A146" s="85" t="s">
        <v>65</v>
      </c>
      <c r="B146" s="70">
        <v>0.51</v>
      </c>
      <c r="C146" s="64"/>
      <c r="D146" s="64"/>
      <c r="E146" s="64"/>
      <c r="F146" s="60"/>
    </row>
    <row r="147" spans="1:6" x14ac:dyDescent="0.3">
      <c r="A147" s="87"/>
      <c r="B147" s="88"/>
      <c r="C147" s="64"/>
      <c r="D147" s="64"/>
      <c r="E147" s="64"/>
      <c r="F147" s="60"/>
    </row>
    <row r="148" spans="1:6" ht="111" customHeight="1" x14ac:dyDescent="0.3">
      <c r="A148" s="288" t="s">
        <v>66</v>
      </c>
      <c r="B148" s="318"/>
      <c r="C148" s="64"/>
      <c r="D148" s="64"/>
      <c r="E148" s="64"/>
      <c r="F148" s="60"/>
    </row>
    <row r="149" spans="1:6" ht="36" customHeight="1" thickBot="1" x14ac:dyDescent="0.35">
      <c r="A149" s="290" t="s">
        <v>67</v>
      </c>
      <c r="B149" s="291"/>
      <c r="C149" s="64"/>
      <c r="D149" s="64"/>
      <c r="E149" s="64"/>
      <c r="F149" s="60"/>
    </row>
    <row r="150" spans="1:6" x14ac:dyDescent="0.3">
      <c r="A150" s="5" t="s">
        <v>205</v>
      </c>
      <c r="B150" s="64"/>
      <c r="C150" s="64"/>
      <c r="D150" s="64"/>
      <c r="E150" s="64"/>
      <c r="F150" s="60"/>
    </row>
    <row r="151" spans="1:6" x14ac:dyDescent="0.3">
      <c r="A151" s="63" t="s">
        <v>68</v>
      </c>
      <c r="B151" s="64"/>
      <c r="C151" s="64"/>
      <c r="D151" s="64"/>
      <c r="E151" s="64"/>
      <c r="F151" s="60"/>
    </row>
    <row r="152" spans="1:6" ht="36.75" customHeight="1" x14ac:dyDescent="0.3">
      <c r="A152" s="75" t="s">
        <v>69</v>
      </c>
      <c r="B152" s="76" t="s">
        <v>297</v>
      </c>
      <c r="C152" s="64"/>
      <c r="D152" s="64"/>
      <c r="E152" s="64"/>
      <c r="F152" s="60"/>
    </row>
    <row r="153" spans="1:6" x14ac:dyDescent="0.3">
      <c r="A153" s="67" t="s">
        <v>70</v>
      </c>
      <c r="B153" s="78">
        <v>1.57</v>
      </c>
      <c r="C153" s="64"/>
      <c r="D153" s="64"/>
      <c r="E153" s="64"/>
      <c r="F153" s="60"/>
    </row>
    <row r="154" spans="1:6" ht="16.8" x14ac:dyDescent="0.3">
      <c r="A154" s="67" t="s">
        <v>74</v>
      </c>
      <c r="B154" s="78">
        <v>1.97</v>
      </c>
      <c r="C154" s="64"/>
      <c r="D154" s="64"/>
      <c r="E154" s="64"/>
      <c r="F154" s="60"/>
    </row>
    <row r="155" spans="1:6" x14ac:dyDescent="0.3">
      <c r="A155" s="67" t="s">
        <v>71</v>
      </c>
      <c r="B155" s="78">
        <v>1.86</v>
      </c>
      <c r="C155" s="64"/>
      <c r="D155" s="64"/>
      <c r="E155" s="64"/>
      <c r="F155" s="60"/>
    </row>
    <row r="156" spans="1:6" x14ac:dyDescent="0.3">
      <c r="A156" s="67" t="s">
        <v>72</v>
      </c>
      <c r="B156" s="78">
        <v>0.28999999999999998</v>
      </c>
      <c r="C156" s="64"/>
      <c r="D156" s="64"/>
      <c r="E156" s="64"/>
      <c r="F156" s="60"/>
    </row>
    <row r="157" spans="1:6" x14ac:dyDescent="0.3">
      <c r="A157" s="67" t="s">
        <v>73</v>
      </c>
      <c r="B157" s="78">
        <v>1.86</v>
      </c>
      <c r="C157" s="64"/>
      <c r="D157" s="64"/>
      <c r="E157" s="64"/>
      <c r="F157" s="60"/>
    </row>
    <row r="158" spans="1:6" x14ac:dyDescent="0.3">
      <c r="A158" s="65"/>
      <c r="B158" s="4"/>
      <c r="C158" s="64"/>
      <c r="D158" s="64"/>
      <c r="E158" s="64"/>
      <c r="F158" s="60"/>
    </row>
    <row r="159" spans="1:6" ht="153.75" customHeight="1" x14ac:dyDescent="0.3">
      <c r="A159" s="288" t="s">
        <v>76</v>
      </c>
      <c r="B159" s="318"/>
      <c r="C159" s="64"/>
      <c r="D159" s="64"/>
      <c r="E159" s="64"/>
      <c r="F159" s="60"/>
    </row>
    <row r="160" spans="1:6" ht="50.25" customHeight="1" thickBot="1" x14ac:dyDescent="0.35">
      <c r="A160" s="290" t="s">
        <v>75</v>
      </c>
      <c r="B160" s="291"/>
      <c r="C160" s="64"/>
      <c r="D160" s="64"/>
      <c r="E160" s="64"/>
      <c r="F160" s="60"/>
    </row>
    <row r="161" spans="1:6" x14ac:dyDescent="0.3">
      <c r="A161" s="5" t="s">
        <v>205</v>
      </c>
      <c r="F161" s="60"/>
    </row>
    <row r="162" spans="1:6" x14ac:dyDescent="0.3">
      <c r="A162" s="63" t="s">
        <v>83</v>
      </c>
      <c r="F162" s="60"/>
    </row>
    <row r="163" spans="1:6" ht="15.75" customHeight="1" x14ac:dyDescent="0.3">
      <c r="A163" s="316" t="s">
        <v>84</v>
      </c>
      <c r="B163" s="317" t="s">
        <v>298</v>
      </c>
      <c r="C163" s="317"/>
      <c r="D163" s="317"/>
      <c r="F163" s="60"/>
    </row>
    <row r="164" spans="1:6" ht="37.5" customHeight="1" x14ac:dyDescent="0.3">
      <c r="A164" s="316"/>
      <c r="B164" s="76" t="s">
        <v>86</v>
      </c>
      <c r="C164" s="76" t="s">
        <v>88</v>
      </c>
      <c r="D164" s="76" t="s">
        <v>87</v>
      </c>
      <c r="F164" s="60"/>
    </row>
    <row r="165" spans="1:6" x14ac:dyDescent="0.3">
      <c r="A165" s="89" t="s">
        <v>89</v>
      </c>
      <c r="B165" s="90">
        <v>0.03</v>
      </c>
      <c r="C165" s="90">
        <v>0.03</v>
      </c>
      <c r="D165" s="90">
        <v>7.0000000000000007E-2</v>
      </c>
      <c r="F165" s="60"/>
    </row>
    <row r="166" spans="1:6" x14ac:dyDescent="0.3">
      <c r="A166" s="89" t="s">
        <v>90</v>
      </c>
      <c r="B166" s="90">
        <v>0.32</v>
      </c>
      <c r="C166" s="90">
        <v>0.16</v>
      </c>
      <c r="D166" s="90">
        <v>0.9</v>
      </c>
      <c r="F166" s="60"/>
    </row>
    <row r="167" spans="1:6" x14ac:dyDescent="0.3">
      <c r="A167" s="89" t="s">
        <v>91</v>
      </c>
      <c r="B167" s="90">
        <v>0.25</v>
      </c>
      <c r="C167" s="90">
        <v>0.25</v>
      </c>
      <c r="D167" s="90">
        <v>0.11</v>
      </c>
      <c r="F167" s="60"/>
    </row>
    <row r="168" spans="1:6" x14ac:dyDescent="0.3">
      <c r="A168" s="89" t="s">
        <v>92</v>
      </c>
      <c r="B168" s="90">
        <v>0.32</v>
      </c>
      <c r="C168" s="90">
        <v>0.05</v>
      </c>
      <c r="D168" s="90">
        <v>0.1</v>
      </c>
      <c r="F168" s="60"/>
    </row>
    <row r="169" spans="1:6" ht="16.8" x14ac:dyDescent="0.3">
      <c r="A169" s="89" t="s">
        <v>108</v>
      </c>
      <c r="B169" s="90">
        <v>0.2</v>
      </c>
      <c r="C169" s="90">
        <v>0.14000000000000001</v>
      </c>
      <c r="D169" s="90">
        <v>0.13</v>
      </c>
      <c r="F169" s="60"/>
    </row>
    <row r="170" spans="1:6" ht="16.8" x14ac:dyDescent="0.3">
      <c r="A170" s="89" t="s">
        <v>109</v>
      </c>
      <c r="B170" s="90">
        <v>0.26</v>
      </c>
      <c r="C170" s="90">
        <v>0.17</v>
      </c>
      <c r="D170" s="90">
        <v>0.13</v>
      </c>
      <c r="F170" s="60"/>
    </row>
    <row r="171" spans="1:6" x14ac:dyDescent="0.3">
      <c r="A171" s="89" t="s">
        <v>93</v>
      </c>
      <c r="B171" s="90">
        <v>0.15</v>
      </c>
      <c r="C171" s="90">
        <v>0.15</v>
      </c>
      <c r="D171" s="90">
        <v>0.11</v>
      </c>
      <c r="F171" s="60"/>
    </row>
    <row r="172" spans="1:6" x14ac:dyDescent="0.3">
      <c r="A172" s="89" t="s">
        <v>94</v>
      </c>
      <c r="B172" s="90">
        <v>0.11</v>
      </c>
      <c r="C172" s="90">
        <v>0.11</v>
      </c>
      <c r="D172" s="90">
        <v>0.06</v>
      </c>
      <c r="F172" s="60"/>
    </row>
    <row r="173" spans="1:6" x14ac:dyDescent="0.3">
      <c r="A173" s="89" t="s">
        <v>95</v>
      </c>
      <c r="B173" s="90">
        <v>0.08</v>
      </c>
      <c r="C173" s="90">
        <v>0.03</v>
      </c>
      <c r="D173" s="90">
        <v>0.19</v>
      </c>
      <c r="F173" s="60"/>
    </row>
    <row r="174" spans="1:6" x14ac:dyDescent="0.3">
      <c r="A174" s="89" t="s">
        <v>96</v>
      </c>
      <c r="B174" s="90">
        <v>0.33</v>
      </c>
      <c r="C174" s="90">
        <v>0.33</v>
      </c>
      <c r="D174" s="90">
        <v>0.21</v>
      </c>
      <c r="F174" s="60"/>
    </row>
    <row r="175" spans="1:6" x14ac:dyDescent="0.3">
      <c r="A175" s="89" t="s">
        <v>97</v>
      </c>
      <c r="B175" s="90">
        <v>0.43</v>
      </c>
      <c r="C175" s="90">
        <v>0.08</v>
      </c>
      <c r="D175" s="90">
        <v>7.0000000000000007E-2</v>
      </c>
      <c r="F175" s="60"/>
    </row>
    <row r="176" spans="1:6" x14ac:dyDescent="0.3">
      <c r="A176" s="89" t="s">
        <v>98</v>
      </c>
      <c r="B176" s="90">
        <v>0.32</v>
      </c>
      <c r="C176" s="90">
        <v>0.32</v>
      </c>
      <c r="D176" s="90">
        <v>0.33</v>
      </c>
      <c r="F176" s="60"/>
    </row>
    <row r="177" spans="1:6" ht="16.8" x14ac:dyDescent="0.3">
      <c r="A177" s="89" t="s">
        <v>110</v>
      </c>
      <c r="B177" s="90">
        <v>0.65</v>
      </c>
      <c r="C177" s="90">
        <v>0.65</v>
      </c>
      <c r="D177" s="90">
        <v>0.65</v>
      </c>
      <c r="F177" s="60"/>
    </row>
    <row r="178" spans="1:6" x14ac:dyDescent="0.3">
      <c r="A178" s="89" t="s">
        <v>99</v>
      </c>
      <c r="B178" s="90">
        <v>0.11</v>
      </c>
      <c r="C178" s="90">
        <v>0.11</v>
      </c>
      <c r="D178" s="90">
        <v>7.0000000000000007E-2</v>
      </c>
      <c r="F178" s="60"/>
    </row>
    <row r="179" spans="1:6" x14ac:dyDescent="0.3">
      <c r="A179" s="89" t="s">
        <v>100</v>
      </c>
      <c r="B179" s="90">
        <v>0.24</v>
      </c>
      <c r="C179" s="90">
        <v>0.1</v>
      </c>
      <c r="D179" s="90">
        <v>0.5</v>
      </c>
      <c r="F179" s="60"/>
    </row>
    <row r="180" spans="1:6" x14ac:dyDescent="0.3">
      <c r="A180" s="89" t="s">
        <v>101</v>
      </c>
      <c r="B180" s="91" t="s">
        <v>102</v>
      </c>
      <c r="C180" s="91" t="s">
        <v>102</v>
      </c>
      <c r="D180" s="90">
        <v>0.1</v>
      </c>
      <c r="F180" s="60"/>
    </row>
    <row r="181" spans="1:6" x14ac:dyDescent="0.3">
      <c r="A181" s="89" t="s">
        <v>103</v>
      </c>
      <c r="B181" s="91" t="s">
        <v>102</v>
      </c>
      <c r="C181" s="91" t="s">
        <v>102</v>
      </c>
      <c r="D181" s="90">
        <v>0.12</v>
      </c>
      <c r="F181" s="60"/>
    </row>
    <row r="182" spans="1:6" x14ac:dyDescent="0.3">
      <c r="A182" s="89" t="s">
        <v>104</v>
      </c>
      <c r="B182" s="91" t="s">
        <v>102</v>
      </c>
      <c r="C182" s="91" t="s">
        <v>102</v>
      </c>
      <c r="D182" s="90">
        <v>7.0000000000000007E-2</v>
      </c>
      <c r="F182" s="60"/>
    </row>
    <row r="183" spans="1:6" x14ac:dyDescent="0.3">
      <c r="A183" s="89" t="s">
        <v>105</v>
      </c>
      <c r="B183" s="91" t="s">
        <v>102</v>
      </c>
      <c r="C183" s="91" t="s">
        <v>102</v>
      </c>
      <c r="D183" s="90">
        <v>0.04</v>
      </c>
      <c r="F183" s="60"/>
    </row>
    <row r="184" spans="1:6" x14ac:dyDescent="0.3">
      <c r="A184" s="89" t="s">
        <v>106</v>
      </c>
      <c r="B184" s="91" t="s">
        <v>102</v>
      </c>
      <c r="C184" s="91" t="s">
        <v>102</v>
      </c>
      <c r="D184" s="90">
        <v>0.1</v>
      </c>
      <c r="F184" s="60"/>
    </row>
    <row r="185" spans="1:6" x14ac:dyDescent="0.3">
      <c r="A185" s="89" t="s">
        <v>107</v>
      </c>
      <c r="B185" s="91" t="s">
        <v>102</v>
      </c>
      <c r="C185" s="91" t="s">
        <v>102</v>
      </c>
      <c r="D185" s="90">
        <v>0.05</v>
      </c>
      <c r="F185" s="60"/>
    </row>
    <row r="186" spans="1:6" ht="16.8" x14ac:dyDescent="0.3">
      <c r="A186" s="89" t="s">
        <v>111</v>
      </c>
      <c r="B186" s="91" t="s">
        <v>102</v>
      </c>
      <c r="C186" s="91" t="s">
        <v>102</v>
      </c>
      <c r="D186" s="90">
        <v>0.21</v>
      </c>
      <c r="F186" s="60"/>
    </row>
    <row r="187" spans="1:6" x14ac:dyDescent="0.3">
      <c r="A187" s="92"/>
      <c r="B187" s="58"/>
      <c r="C187" s="58"/>
      <c r="D187" s="59"/>
      <c r="F187" s="60"/>
    </row>
    <row r="188" spans="1:6" ht="63.75" customHeight="1" x14ac:dyDescent="0.3">
      <c r="A188" s="296" t="s">
        <v>112</v>
      </c>
      <c r="B188" s="315"/>
      <c r="C188" s="315"/>
      <c r="D188" s="297"/>
      <c r="F188" s="60"/>
    </row>
    <row r="189" spans="1:6" x14ac:dyDescent="0.3">
      <c r="A189" s="5" t="s">
        <v>205</v>
      </c>
      <c r="F189" s="60"/>
    </row>
    <row r="190" spans="1:6" x14ac:dyDescent="0.3">
      <c r="A190" s="63" t="s">
        <v>113</v>
      </c>
      <c r="F190" s="60"/>
    </row>
    <row r="191" spans="1:6" x14ac:dyDescent="0.3">
      <c r="A191" s="316" t="s">
        <v>84</v>
      </c>
      <c r="B191" s="317" t="s">
        <v>298</v>
      </c>
      <c r="C191" s="317"/>
      <c r="D191" s="317"/>
      <c r="F191" s="60"/>
    </row>
    <row r="192" spans="1:6" x14ac:dyDescent="0.3">
      <c r="A192" s="316"/>
      <c r="B192" s="76" t="s">
        <v>85</v>
      </c>
      <c r="C192" s="76" t="s">
        <v>114</v>
      </c>
      <c r="D192" s="76" t="s">
        <v>115</v>
      </c>
      <c r="F192" s="60"/>
    </row>
    <row r="193" spans="1:6" x14ac:dyDescent="0.3">
      <c r="A193" s="89" t="s">
        <v>90</v>
      </c>
      <c r="B193" s="90">
        <v>0.23</v>
      </c>
      <c r="C193" s="90">
        <v>0.23</v>
      </c>
      <c r="D193" s="90">
        <v>0.23</v>
      </c>
      <c r="F193" s="60"/>
    </row>
    <row r="194" spans="1:6" x14ac:dyDescent="0.3">
      <c r="A194" s="89" t="s">
        <v>116</v>
      </c>
      <c r="B194" s="90">
        <v>0.13</v>
      </c>
      <c r="C194" s="90">
        <v>0.13</v>
      </c>
      <c r="D194" s="90">
        <v>0.32</v>
      </c>
      <c r="F194" s="60"/>
    </row>
    <row r="195" spans="1:6" x14ac:dyDescent="0.3">
      <c r="A195" s="89" t="s">
        <v>117</v>
      </c>
      <c r="B195" s="90">
        <v>0.09</v>
      </c>
      <c r="C195" s="90">
        <v>0.09</v>
      </c>
      <c r="D195" s="90">
        <v>0.09</v>
      </c>
      <c r="F195" s="60"/>
    </row>
    <row r="196" spans="1:6" x14ac:dyDescent="0.3">
      <c r="A196" s="89" t="s">
        <v>92</v>
      </c>
      <c r="B196" s="90">
        <v>0.4</v>
      </c>
      <c r="C196" s="90">
        <v>0.4</v>
      </c>
      <c r="D196" s="90">
        <v>0.41</v>
      </c>
      <c r="F196" s="60"/>
    </row>
    <row r="197" spans="1:6" x14ac:dyDescent="0.3">
      <c r="A197" s="89" t="s">
        <v>98</v>
      </c>
      <c r="B197" s="90">
        <v>0.23</v>
      </c>
      <c r="C197" s="90">
        <v>0.23</v>
      </c>
      <c r="D197" s="90">
        <v>0.65</v>
      </c>
      <c r="F197" s="60"/>
    </row>
    <row r="198" spans="1:6" x14ac:dyDescent="0.3">
      <c r="A198" s="89" t="s">
        <v>118</v>
      </c>
      <c r="B198" s="90">
        <v>0.33</v>
      </c>
      <c r="C198" s="90">
        <v>0.13</v>
      </c>
      <c r="D198" s="90">
        <v>0.49</v>
      </c>
      <c r="F198" s="60"/>
    </row>
    <row r="199" spans="1:6" x14ac:dyDescent="0.3">
      <c r="A199" s="89" t="s">
        <v>119</v>
      </c>
      <c r="B199" s="90">
        <v>0.05</v>
      </c>
      <c r="C199" s="90">
        <v>0.05</v>
      </c>
      <c r="D199" s="90">
        <v>0.05</v>
      </c>
      <c r="F199" s="60"/>
    </row>
    <row r="200" spans="1:6" x14ac:dyDescent="0.3">
      <c r="A200" s="89" t="s">
        <v>120</v>
      </c>
      <c r="B200" s="91" t="s">
        <v>102</v>
      </c>
      <c r="C200" s="91" t="s">
        <v>102</v>
      </c>
      <c r="D200" s="90">
        <v>0.03</v>
      </c>
      <c r="F200" s="60"/>
    </row>
    <row r="201" spans="1:6" x14ac:dyDescent="0.3">
      <c r="A201" s="89" t="s">
        <v>93</v>
      </c>
      <c r="B201" s="91" t="s">
        <v>102</v>
      </c>
      <c r="C201" s="91" t="s">
        <v>102</v>
      </c>
      <c r="D201" s="90">
        <v>0.2</v>
      </c>
      <c r="F201" s="60"/>
    </row>
    <row r="202" spans="1:6" x14ac:dyDescent="0.3">
      <c r="A202" s="5" t="s">
        <v>205</v>
      </c>
      <c r="F202" s="60"/>
    </row>
    <row r="203" spans="1:6" x14ac:dyDescent="0.3">
      <c r="A203" s="63" t="s">
        <v>121</v>
      </c>
      <c r="F203" s="60"/>
    </row>
    <row r="204" spans="1:6" ht="43.8" x14ac:dyDescent="0.3">
      <c r="A204" s="75" t="s">
        <v>122</v>
      </c>
      <c r="B204" s="93" t="s">
        <v>299</v>
      </c>
      <c r="C204" s="93" t="s">
        <v>300</v>
      </c>
      <c r="F204" s="60"/>
    </row>
    <row r="205" spans="1:6" ht="16.2" x14ac:dyDescent="0.3">
      <c r="A205" s="89" t="s">
        <v>127</v>
      </c>
      <c r="B205" s="90">
        <v>0.33</v>
      </c>
      <c r="C205" s="90">
        <v>0.39</v>
      </c>
      <c r="F205" s="60"/>
    </row>
    <row r="206" spans="1:6" ht="16.2" x14ac:dyDescent="0.3">
      <c r="A206" s="89" t="s">
        <v>128</v>
      </c>
      <c r="B206" s="90">
        <v>0.65</v>
      </c>
      <c r="C206" s="90">
        <v>0.78</v>
      </c>
      <c r="F206" s="60"/>
    </row>
    <row r="207" spans="1:6" ht="16.2" x14ac:dyDescent="0.3">
      <c r="A207" s="89" t="s">
        <v>129</v>
      </c>
      <c r="B207" s="90">
        <v>1.63</v>
      </c>
      <c r="C207" s="90">
        <v>1.57</v>
      </c>
      <c r="F207" s="60"/>
    </row>
    <row r="208" spans="1:6" x14ac:dyDescent="0.3">
      <c r="A208" s="89" t="s">
        <v>123</v>
      </c>
      <c r="B208" s="90">
        <v>1.96</v>
      </c>
      <c r="C208" s="90">
        <v>1.96</v>
      </c>
      <c r="F208" s="60"/>
    </row>
    <row r="209" spans="1:6" x14ac:dyDescent="0.3">
      <c r="A209" s="89" t="s">
        <v>124</v>
      </c>
      <c r="B209" s="90">
        <v>3.27</v>
      </c>
      <c r="C209" s="90">
        <v>3.53</v>
      </c>
      <c r="F209" s="60"/>
    </row>
    <row r="210" spans="1:6" x14ac:dyDescent="0.3">
      <c r="A210" s="89" t="s">
        <v>125</v>
      </c>
      <c r="B210" s="90">
        <v>3.59</v>
      </c>
      <c r="C210" s="90">
        <v>3.92</v>
      </c>
      <c r="F210" s="60"/>
    </row>
    <row r="211" spans="1:6" x14ac:dyDescent="0.3">
      <c r="A211" s="89" t="s">
        <v>126</v>
      </c>
      <c r="B211" s="90">
        <v>5.23</v>
      </c>
      <c r="C211" s="90">
        <v>3.92</v>
      </c>
      <c r="F211" s="60"/>
    </row>
    <row r="212" spans="1:6" ht="16.2" x14ac:dyDescent="0.3">
      <c r="A212" s="89" t="s">
        <v>130</v>
      </c>
      <c r="B212" s="90">
        <v>3.59</v>
      </c>
      <c r="C212" s="90">
        <v>3.92</v>
      </c>
      <c r="F212" s="60"/>
    </row>
    <row r="213" spans="1:6" x14ac:dyDescent="0.3">
      <c r="A213" s="92"/>
      <c r="B213" s="58"/>
      <c r="C213" s="59"/>
      <c r="F213" s="60"/>
    </row>
    <row r="214" spans="1:6" ht="48.75" customHeight="1" x14ac:dyDescent="0.3">
      <c r="A214" s="288" t="s">
        <v>131</v>
      </c>
      <c r="B214" s="314"/>
      <c r="C214" s="289"/>
      <c r="F214" s="60"/>
    </row>
    <row r="215" spans="1:6" ht="96.75" customHeight="1" x14ac:dyDescent="0.3">
      <c r="A215" s="288" t="s">
        <v>132</v>
      </c>
      <c r="B215" s="314"/>
      <c r="C215" s="289"/>
      <c r="F215" s="60"/>
    </row>
    <row r="216" spans="1:6" ht="66.75" customHeight="1" x14ac:dyDescent="0.3">
      <c r="A216" s="296" t="s">
        <v>158</v>
      </c>
      <c r="B216" s="315"/>
      <c r="C216" s="297"/>
      <c r="F216" s="60"/>
    </row>
    <row r="217" spans="1:6" x14ac:dyDescent="0.3">
      <c r="A217" s="5" t="s">
        <v>205</v>
      </c>
      <c r="F217" s="60"/>
    </row>
    <row r="218" spans="1:6" x14ac:dyDescent="0.3">
      <c r="A218" s="63" t="s">
        <v>133</v>
      </c>
      <c r="F218" s="60"/>
    </row>
    <row r="219" spans="1:6" ht="30" x14ac:dyDescent="0.3">
      <c r="A219" s="75" t="s">
        <v>135</v>
      </c>
      <c r="B219" s="93" t="s">
        <v>206</v>
      </c>
      <c r="C219" s="93" t="s">
        <v>301</v>
      </c>
      <c r="F219" s="60"/>
    </row>
    <row r="220" spans="1:6" ht="16.2" x14ac:dyDescent="0.3">
      <c r="A220" s="89" t="s">
        <v>136</v>
      </c>
      <c r="B220" s="91" t="s">
        <v>138</v>
      </c>
      <c r="C220" s="90">
        <v>7.63</v>
      </c>
      <c r="F220" s="60"/>
    </row>
    <row r="221" spans="1:6" ht="16.2" x14ac:dyDescent="0.3">
      <c r="A221" s="89" t="s">
        <v>137</v>
      </c>
      <c r="B221" s="91" t="s">
        <v>139</v>
      </c>
      <c r="C221" s="90">
        <v>6.8</v>
      </c>
      <c r="F221" s="60"/>
    </row>
    <row r="222" spans="1:6" x14ac:dyDescent="0.3">
      <c r="A222" s="92"/>
      <c r="B222" s="58"/>
      <c r="C222" s="59"/>
      <c r="F222" s="60"/>
    </row>
    <row r="223" spans="1:6" ht="50.25" customHeight="1" x14ac:dyDescent="0.3">
      <c r="A223" s="288" t="s">
        <v>140</v>
      </c>
      <c r="B223" s="314"/>
      <c r="C223" s="289"/>
      <c r="F223" s="60"/>
    </row>
    <row r="224" spans="1:6" ht="51" customHeight="1" x14ac:dyDescent="0.3">
      <c r="A224" s="288" t="s">
        <v>141</v>
      </c>
      <c r="B224" s="314"/>
      <c r="C224" s="289"/>
      <c r="F224" s="60"/>
    </row>
    <row r="225" spans="1:6" ht="49.5" customHeight="1" x14ac:dyDescent="0.3">
      <c r="A225" s="288" t="s">
        <v>142</v>
      </c>
      <c r="B225" s="314"/>
      <c r="C225" s="289"/>
      <c r="F225" s="60"/>
    </row>
    <row r="226" spans="1:6" ht="80.25" customHeight="1" x14ac:dyDescent="0.3">
      <c r="A226" s="296" t="s">
        <v>143</v>
      </c>
      <c r="B226" s="315"/>
      <c r="C226" s="297"/>
      <c r="F226" s="60"/>
    </row>
    <row r="227" spans="1:6" x14ac:dyDescent="0.3">
      <c r="A227" s="5" t="s">
        <v>205</v>
      </c>
      <c r="F227" s="60"/>
    </row>
    <row r="228" spans="1:6" x14ac:dyDescent="0.3">
      <c r="A228" s="63" t="s">
        <v>134</v>
      </c>
      <c r="F228" s="60"/>
    </row>
    <row r="229" spans="1:6" ht="15.75" customHeight="1" x14ac:dyDescent="0.3">
      <c r="A229" s="316" t="s">
        <v>144</v>
      </c>
      <c r="B229" s="311" t="s">
        <v>302</v>
      </c>
      <c r="C229" s="312"/>
      <c r="D229" s="312"/>
      <c r="E229" s="312"/>
      <c r="F229" s="313"/>
    </row>
    <row r="230" spans="1:6" ht="46.8" x14ac:dyDescent="0.3">
      <c r="A230" s="316"/>
      <c r="B230" s="76" t="s">
        <v>145</v>
      </c>
      <c r="C230" s="76" t="s">
        <v>146</v>
      </c>
      <c r="D230" s="76" t="s">
        <v>147</v>
      </c>
      <c r="E230" s="76" t="s">
        <v>303</v>
      </c>
      <c r="F230" s="76" t="s">
        <v>304</v>
      </c>
    </row>
    <row r="231" spans="1:6" x14ac:dyDescent="0.3">
      <c r="A231" s="89" t="s">
        <v>148</v>
      </c>
      <c r="B231" s="94">
        <v>0.13800000000000001</v>
      </c>
      <c r="C231" s="95">
        <v>1.9E-3</v>
      </c>
      <c r="D231" s="94">
        <v>1.7000000000000001E-2</v>
      </c>
      <c r="E231" s="94" t="s">
        <v>102</v>
      </c>
      <c r="F231" s="94">
        <v>0.107</v>
      </c>
    </row>
    <row r="232" spans="1:6" x14ac:dyDescent="0.3">
      <c r="A232" s="89" t="s">
        <v>149</v>
      </c>
      <c r="B232" s="94">
        <v>2.9000000000000001E-2</v>
      </c>
      <c r="C232" s="95">
        <v>2.0000000000000001E-4</v>
      </c>
      <c r="D232" s="94">
        <v>9.6000000000000002E-2</v>
      </c>
      <c r="E232" s="94" t="s">
        <v>102</v>
      </c>
      <c r="F232" s="94">
        <v>0.109</v>
      </c>
    </row>
    <row r="233" spans="1:6" x14ac:dyDescent="0.3">
      <c r="A233" s="89" t="s">
        <v>150</v>
      </c>
      <c r="B233" s="94">
        <v>0.11600000000000001</v>
      </c>
      <c r="C233" s="95">
        <v>1.1000000000000001E-3</v>
      </c>
      <c r="D233" s="94">
        <v>0.04</v>
      </c>
      <c r="E233" s="94">
        <v>1.2E-2</v>
      </c>
      <c r="F233" s="94">
        <v>0.107</v>
      </c>
    </row>
    <row r="234" spans="1:6" x14ac:dyDescent="0.3">
      <c r="A234" s="89" t="s">
        <v>151</v>
      </c>
      <c r="B234" s="94">
        <v>0.34499999999999997</v>
      </c>
      <c r="C234" s="95">
        <v>4.3700000000000003E-2</v>
      </c>
      <c r="D234" s="94">
        <v>1.6E-2</v>
      </c>
      <c r="E234" s="94" t="s">
        <v>102</v>
      </c>
      <c r="F234" s="94">
        <v>0.30299999999999999</v>
      </c>
    </row>
    <row r="235" spans="1:6" x14ac:dyDescent="0.3">
      <c r="A235" s="89" t="s">
        <v>152</v>
      </c>
      <c r="B235" s="94">
        <v>7.4999999999999997E-2</v>
      </c>
      <c r="C235" s="95">
        <v>3.7000000000000002E-3</v>
      </c>
      <c r="D235" s="94">
        <v>2.7E-2</v>
      </c>
      <c r="E235" s="94" t="s">
        <v>102</v>
      </c>
      <c r="F235" s="94">
        <v>0.29899999999999999</v>
      </c>
    </row>
    <row r="236" spans="1:6" x14ac:dyDescent="0.3">
      <c r="A236" s="89" t="s">
        <v>153</v>
      </c>
      <c r="B236" s="94">
        <v>0.23599999999999999</v>
      </c>
      <c r="C236" s="95">
        <v>2.1999999999999999E-2</v>
      </c>
      <c r="D236" s="94">
        <v>2.1000000000000001E-2</v>
      </c>
      <c r="E236" s="94">
        <v>3.5000000000000003E-2</v>
      </c>
      <c r="F236" s="94">
        <v>0.30099999999999999</v>
      </c>
    </row>
    <row r="237" spans="1:6" x14ac:dyDescent="0.3">
      <c r="A237" s="89" t="s">
        <v>154</v>
      </c>
      <c r="B237" s="94">
        <v>0.154</v>
      </c>
      <c r="C237" s="95">
        <v>5.1000000000000004E-3</v>
      </c>
      <c r="D237" s="94">
        <v>1.7000000000000001E-2</v>
      </c>
      <c r="E237" s="94" t="s">
        <v>102</v>
      </c>
      <c r="F237" s="94">
        <v>0.124</v>
      </c>
    </row>
    <row r="238" spans="1:6" x14ac:dyDescent="0.3">
      <c r="A238" s="89" t="s">
        <v>155</v>
      </c>
      <c r="B238" s="94">
        <v>3.5999999999999997E-2</v>
      </c>
      <c r="C238" s="95">
        <v>6.9999999999999999E-4</v>
      </c>
      <c r="D238" s="94">
        <v>8.5999999999999993E-2</v>
      </c>
      <c r="E238" s="94" t="s">
        <v>102</v>
      </c>
      <c r="F238" s="94">
        <v>0.14000000000000001</v>
      </c>
    </row>
    <row r="239" spans="1:6" x14ac:dyDescent="0.3">
      <c r="A239" s="89" t="s">
        <v>156</v>
      </c>
      <c r="B239" s="94">
        <v>0.128</v>
      </c>
      <c r="C239" s="95">
        <v>3.0999999999999999E-3</v>
      </c>
      <c r="D239" s="94">
        <v>3.7999999999999999E-2</v>
      </c>
      <c r="E239" s="94">
        <v>1.4999999999999999E-2</v>
      </c>
      <c r="F239" s="94">
        <v>0.129</v>
      </c>
    </row>
    <row r="240" spans="1:6" x14ac:dyDescent="0.3">
      <c r="A240" s="92"/>
      <c r="B240" s="58"/>
      <c r="C240" s="58"/>
      <c r="D240" s="59"/>
      <c r="F240" s="60"/>
    </row>
    <row r="241" spans="1:6" ht="32.1" customHeight="1" x14ac:dyDescent="0.3">
      <c r="A241" s="288" t="s">
        <v>306</v>
      </c>
      <c r="B241" s="314"/>
      <c r="C241" s="314"/>
      <c r="D241" s="314"/>
      <c r="E241" s="314"/>
      <c r="F241" s="289"/>
    </row>
    <row r="242" spans="1:6" ht="32.4" customHeight="1" x14ac:dyDescent="0.3">
      <c r="A242" s="304" t="s">
        <v>305</v>
      </c>
      <c r="B242" s="304"/>
      <c r="C242" s="304"/>
      <c r="D242" s="304"/>
      <c r="E242" s="304"/>
      <c r="F242" s="305"/>
    </row>
  </sheetData>
  <mergeCells count="35">
    <mergeCell ref="A225:C225"/>
    <mergeCell ref="B163:D163"/>
    <mergeCell ref="A163:A164"/>
    <mergeCell ref="A148:B148"/>
    <mergeCell ref="A149:B149"/>
    <mergeCell ref="A159:B159"/>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0:B20"/>
    <mergeCell ref="A21:B21"/>
    <mergeCell ref="A36:B36"/>
    <mergeCell ref="A37:B37"/>
    <mergeCell ref="A160:B160"/>
    <mergeCell ref="A38:B38"/>
    <mergeCell ref="A39:B39"/>
    <mergeCell ref="A40:B40"/>
    <mergeCell ref="A49:B49"/>
    <mergeCell ref="A56:B56"/>
    <mergeCell ref="A57:B57"/>
    <mergeCell ref="A111:E111"/>
    <mergeCell ref="A112:E112"/>
  </mergeCells>
  <hyperlinks>
    <hyperlink ref="A3" r:id="rId1" display="Tables A-1 through A-4 come from USDOT BCA Guidance (March 2022, Revised)"/>
  </hyperlinks>
  <pageMargins left="0.7" right="0.7" top="0.75" bottom="0.75" header="0.3" footer="0.3"/>
  <pageSetup scale="63"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X246"/>
  <sheetViews>
    <sheetView workbookViewId="0">
      <selection activeCell="A35" sqref="A35"/>
    </sheetView>
  </sheetViews>
  <sheetFormatPr defaultRowHeight="14.4" x14ac:dyDescent="0.3"/>
  <cols>
    <col min="1" max="1" width="30.109375" customWidth="1"/>
    <col min="2" max="5" width="20.6640625" customWidth="1"/>
    <col min="6" max="6" width="16.5546875" customWidth="1"/>
    <col min="7" max="7" width="17.44140625" customWidth="1"/>
    <col min="8" max="8" width="21.109375" customWidth="1"/>
    <col min="9" max="9" width="16.109375" customWidth="1"/>
    <col min="10" max="10" width="16.88671875" customWidth="1"/>
    <col min="11" max="11" width="17.33203125" customWidth="1"/>
    <col min="12" max="12" width="16.88671875" customWidth="1"/>
    <col min="13" max="13" width="17.33203125" customWidth="1"/>
    <col min="14" max="76" width="9.109375" style="5"/>
  </cols>
  <sheetData>
    <row r="1" spans="1:62" ht="20.399999999999999" thickBot="1" x14ac:dyDescent="0.45">
      <c r="A1" s="96" t="s">
        <v>330</v>
      </c>
      <c r="B1" s="5"/>
      <c r="C1" s="5"/>
      <c r="D1" s="5"/>
      <c r="E1" s="5"/>
      <c r="F1" s="5"/>
      <c r="G1" s="5"/>
      <c r="H1" s="5"/>
      <c r="I1" s="5"/>
      <c r="J1" s="5"/>
      <c r="K1" s="5"/>
      <c r="L1" s="5"/>
      <c r="M1" s="5"/>
    </row>
    <row r="2" spans="1:62" ht="15" thickTop="1" x14ac:dyDescent="0.3">
      <c r="A2" s="152" t="s">
        <v>354</v>
      </c>
      <c r="B2" s="152"/>
      <c r="C2" s="152"/>
      <c r="D2" s="152"/>
      <c r="E2" s="152"/>
      <c r="F2" s="152"/>
      <c r="G2" s="152"/>
      <c r="H2" s="152"/>
      <c r="I2" s="5"/>
      <c r="J2" s="5"/>
      <c r="K2" s="5"/>
      <c r="L2" s="5"/>
      <c r="M2" s="5"/>
    </row>
    <row r="3" spans="1:62" x14ac:dyDescent="0.3">
      <c r="A3" s="152" t="s">
        <v>331</v>
      </c>
      <c r="B3" s="152"/>
      <c r="C3" s="152"/>
      <c r="D3" s="152"/>
      <c r="E3" s="152"/>
      <c r="F3" s="152"/>
      <c r="G3" s="152"/>
      <c r="H3" s="152"/>
      <c r="I3" s="5"/>
      <c r="J3" s="5"/>
      <c r="K3" s="5"/>
      <c r="L3" s="5"/>
      <c r="M3" s="5"/>
    </row>
    <row r="4" spans="1:62" x14ac:dyDescent="0.3">
      <c r="A4" s="152" t="s">
        <v>216</v>
      </c>
      <c r="B4" s="152"/>
      <c r="C4" s="152"/>
      <c r="D4" s="152"/>
      <c r="E4" s="152"/>
      <c r="F4" s="5"/>
      <c r="G4" s="5"/>
      <c r="H4" s="5"/>
      <c r="I4" s="5"/>
      <c r="J4" s="5"/>
      <c r="K4" s="5"/>
      <c r="L4" s="5"/>
      <c r="M4" s="5"/>
    </row>
    <row r="5" spans="1:62" x14ac:dyDescent="0.3">
      <c r="A5" s="152" t="s">
        <v>215</v>
      </c>
      <c r="B5" s="152"/>
      <c r="C5" s="152"/>
      <c r="D5" s="152"/>
      <c r="E5" s="5"/>
      <c r="F5" s="5"/>
      <c r="G5" s="5"/>
      <c r="H5" s="5"/>
      <c r="I5" s="5"/>
      <c r="J5" s="5"/>
      <c r="K5" s="5"/>
      <c r="L5" s="5"/>
      <c r="M5" s="5"/>
    </row>
    <row r="6" spans="1:62" x14ac:dyDescent="0.3">
      <c r="A6" s="5" t="s">
        <v>205</v>
      </c>
      <c r="B6" s="5"/>
      <c r="C6" s="5"/>
      <c r="D6" s="5"/>
      <c r="E6" s="5"/>
      <c r="F6" s="5"/>
      <c r="G6" s="5"/>
      <c r="H6" s="5"/>
      <c r="I6" s="5"/>
      <c r="J6" s="5"/>
      <c r="K6" s="5"/>
      <c r="L6" s="5"/>
      <c r="M6" s="5"/>
    </row>
    <row r="7" spans="1:62" ht="15" thickBot="1" x14ac:dyDescent="0.35">
      <c r="A7" s="146" t="s">
        <v>218</v>
      </c>
      <c r="B7" s="5"/>
      <c r="C7" s="5"/>
      <c r="D7" s="5"/>
      <c r="E7" s="5"/>
      <c r="F7" s="5"/>
      <c r="G7" s="5"/>
      <c r="H7" s="5"/>
      <c r="I7" s="5"/>
      <c r="J7" s="5"/>
      <c r="K7" s="5"/>
      <c r="L7" s="5"/>
      <c r="M7" s="5"/>
    </row>
    <row r="8" spans="1:62" x14ac:dyDescent="0.3">
      <c r="A8" s="5"/>
      <c r="B8" s="321" t="s">
        <v>189</v>
      </c>
      <c r="C8" s="320"/>
      <c r="D8" s="319" t="s">
        <v>190</v>
      </c>
      <c r="E8" s="320"/>
      <c r="F8" s="319" t="s">
        <v>187</v>
      </c>
      <c r="G8" s="320"/>
      <c r="H8" s="319" t="s">
        <v>188</v>
      </c>
      <c r="I8" s="320"/>
      <c r="J8" s="319" t="s">
        <v>191</v>
      </c>
      <c r="K8" s="320"/>
      <c r="L8" s="319" t="s">
        <v>194</v>
      </c>
      <c r="M8" s="320"/>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3">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3">
      <c r="A10" s="6">
        <f>'Project Information'!$B$9</f>
        <v>2029</v>
      </c>
      <c r="B10" s="41">
        <v>0</v>
      </c>
      <c r="C10" s="41">
        <v>0</v>
      </c>
      <c r="D10" s="41">
        <v>0</v>
      </c>
      <c r="E10" s="41">
        <v>0</v>
      </c>
      <c r="F10" s="41">
        <v>0</v>
      </c>
      <c r="G10" s="41">
        <v>0</v>
      </c>
      <c r="H10" s="41">
        <v>0</v>
      </c>
      <c r="I10" s="41">
        <v>0</v>
      </c>
      <c r="J10" s="41">
        <v>0</v>
      </c>
      <c r="K10" s="41">
        <v>0</v>
      </c>
      <c r="L10" s="41">
        <v>0</v>
      </c>
      <c r="M10" s="41">
        <v>0</v>
      </c>
      <c r="O10" s="13"/>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3">
      <c r="A11" s="1">
        <f>IF(A10&lt;'Project Information'!B$11,A10+1,"")</f>
        <v>2030</v>
      </c>
      <c r="B11" s="41">
        <v>0</v>
      </c>
      <c r="C11" s="41">
        <v>0</v>
      </c>
      <c r="D11" s="41">
        <v>0</v>
      </c>
      <c r="E11" s="41">
        <v>0</v>
      </c>
      <c r="F11" s="41">
        <v>0</v>
      </c>
      <c r="G11" s="41">
        <v>0</v>
      </c>
      <c r="H11" s="41">
        <v>0</v>
      </c>
      <c r="I11" s="41">
        <v>0</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3">
      <c r="A12" s="1">
        <f>IF(A11&lt;'Project Information'!B$11,A11+1,"")</f>
        <v>2031</v>
      </c>
      <c r="B12" s="41">
        <v>0</v>
      </c>
      <c r="C12" s="41">
        <v>0</v>
      </c>
      <c r="D12" s="41">
        <v>0</v>
      </c>
      <c r="E12" s="41">
        <v>0</v>
      </c>
      <c r="F12" s="41">
        <v>0</v>
      </c>
      <c r="G12" s="41">
        <v>0</v>
      </c>
      <c r="H12" s="41">
        <v>0</v>
      </c>
      <c r="I12" s="41">
        <v>0</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3">
      <c r="A13" s="1">
        <f>IF(A12&lt;'Project Information'!B$11,A12+1,"")</f>
        <v>2032</v>
      </c>
      <c r="B13" s="41">
        <v>0</v>
      </c>
      <c r="C13" s="41">
        <v>0</v>
      </c>
      <c r="D13" s="41">
        <v>0</v>
      </c>
      <c r="E13" s="41">
        <v>0</v>
      </c>
      <c r="F13" s="41">
        <v>0</v>
      </c>
      <c r="G13" s="41">
        <v>0</v>
      </c>
      <c r="H13" s="41">
        <v>0</v>
      </c>
      <c r="I13" s="41">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3">
      <c r="A14" s="1">
        <f>IF(A13&lt;'Project Information'!B$11,A13+1,"")</f>
        <v>2033</v>
      </c>
      <c r="B14" s="41">
        <v>0</v>
      </c>
      <c r="C14" s="41">
        <v>0</v>
      </c>
      <c r="D14" s="41">
        <v>0</v>
      </c>
      <c r="E14" s="41">
        <v>0</v>
      </c>
      <c r="F14" s="41">
        <v>0</v>
      </c>
      <c r="G14" s="41">
        <v>0</v>
      </c>
      <c r="H14" s="41">
        <v>0</v>
      </c>
      <c r="I14" s="41">
        <v>0</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3">
      <c r="A15" s="1">
        <f>IF(A14&lt;'Project Information'!B$11,A14+1,"")</f>
        <v>2034</v>
      </c>
      <c r="B15" s="41">
        <v>0</v>
      </c>
      <c r="C15" s="41">
        <v>0</v>
      </c>
      <c r="D15" s="41">
        <v>0</v>
      </c>
      <c r="E15" s="41">
        <v>0</v>
      </c>
      <c r="F15" s="41">
        <v>0</v>
      </c>
      <c r="G15" s="41">
        <v>0</v>
      </c>
      <c r="H15" s="41">
        <v>0</v>
      </c>
      <c r="I15" s="41">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3">
      <c r="A16" s="1">
        <f>IF(A15&lt;'Project Information'!B$11,A15+1,"")</f>
        <v>2035</v>
      </c>
      <c r="B16" s="41">
        <v>0</v>
      </c>
      <c r="C16" s="41">
        <v>0</v>
      </c>
      <c r="D16" s="41">
        <v>0</v>
      </c>
      <c r="E16" s="41">
        <v>0</v>
      </c>
      <c r="F16" s="41">
        <v>0</v>
      </c>
      <c r="G16" s="41">
        <v>0</v>
      </c>
      <c r="H16" s="41">
        <v>0</v>
      </c>
      <c r="I16" s="41">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3">
      <c r="A17" s="1">
        <f>IF(A16&lt;'Project Information'!B$11,A16+1,"")</f>
        <v>2036</v>
      </c>
      <c r="B17" s="41">
        <v>0</v>
      </c>
      <c r="C17" s="41">
        <v>0</v>
      </c>
      <c r="D17" s="41">
        <v>0</v>
      </c>
      <c r="E17" s="41">
        <v>0</v>
      </c>
      <c r="F17" s="41">
        <v>0</v>
      </c>
      <c r="G17" s="41">
        <v>0</v>
      </c>
      <c r="H17" s="41">
        <v>0</v>
      </c>
      <c r="I17" s="41">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3">
      <c r="A18" s="1">
        <f>IF(A17&lt;'Project Information'!B$11,A17+1,"")</f>
        <v>2037</v>
      </c>
      <c r="B18" s="41">
        <v>0</v>
      </c>
      <c r="C18" s="41">
        <v>0</v>
      </c>
      <c r="D18" s="41">
        <v>0</v>
      </c>
      <c r="E18" s="41">
        <v>0</v>
      </c>
      <c r="F18" s="41">
        <v>0</v>
      </c>
      <c r="G18" s="41">
        <v>0</v>
      </c>
      <c r="H18" s="41">
        <v>0</v>
      </c>
      <c r="I18" s="41">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3">
      <c r="A19" s="1">
        <f>IF(A18&lt;'Project Information'!B$11,A18+1,"")</f>
        <v>2038</v>
      </c>
      <c r="B19" s="41">
        <v>0</v>
      </c>
      <c r="C19" s="41">
        <v>0</v>
      </c>
      <c r="D19" s="41">
        <v>0</v>
      </c>
      <c r="E19" s="41">
        <v>0</v>
      </c>
      <c r="F19" s="41">
        <v>0</v>
      </c>
      <c r="G19" s="41">
        <v>0</v>
      </c>
      <c r="H19" s="41">
        <v>0</v>
      </c>
      <c r="I19" s="41">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3">
      <c r="A20" s="1">
        <f>IF(A19&lt;'Project Information'!B$11,A19+1,"")</f>
        <v>2039</v>
      </c>
      <c r="B20" s="41">
        <v>0</v>
      </c>
      <c r="C20" s="41">
        <v>0</v>
      </c>
      <c r="D20" s="41">
        <v>0</v>
      </c>
      <c r="E20" s="41">
        <v>0</v>
      </c>
      <c r="F20" s="41">
        <v>0</v>
      </c>
      <c r="G20" s="41">
        <v>0</v>
      </c>
      <c r="H20" s="41">
        <v>0</v>
      </c>
      <c r="I20" s="41">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3">
      <c r="A21" s="1">
        <f>IF(A20&lt;'Project Information'!B$11,A20+1,"")</f>
        <v>2040</v>
      </c>
      <c r="B21" s="41">
        <v>0</v>
      </c>
      <c r="C21" s="41">
        <v>0</v>
      </c>
      <c r="D21" s="41">
        <v>0</v>
      </c>
      <c r="E21" s="41">
        <v>0</v>
      </c>
      <c r="F21" s="41">
        <v>0</v>
      </c>
      <c r="G21" s="41">
        <v>0</v>
      </c>
      <c r="H21" s="41">
        <v>0</v>
      </c>
      <c r="I21" s="41">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3">
      <c r="A22" s="1">
        <f>IF(A21&lt;'Project Information'!B$11,A21+1,"")</f>
        <v>2041</v>
      </c>
      <c r="B22" s="41">
        <v>0</v>
      </c>
      <c r="C22" s="41">
        <v>0</v>
      </c>
      <c r="D22" s="41">
        <v>0</v>
      </c>
      <c r="E22" s="41">
        <v>0</v>
      </c>
      <c r="F22" s="41">
        <v>0</v>
      </c>
      <c r="G22" s="41">
        <v>0</v>
      </c>
      <c r="H22" s="41">
        <v>0</v>
      </c>
      <c r="I22" s="41">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3">
      <c r="A23" s="1">
        <f>IF(A22&lt;'Project Information'!B$11,A22+1,"")</f>
        <v>2042</v>
      </c>
      <c r="B23" s="41">
        <v>0</v>
      </c>
      <c r="C23" s="41">
        <v>0</v>
      </c>
      <c r="D23" s="41">
        <v>0</v>
      </c>
      <c r="E23" s="41">
        <v>0</v>
      </c>
      <c r="F23" s="41">
        <v>0</v>
      </c>
      <c r="G23" s="41">
        <v>0</v>
      </c>
      <c r="H23" s="41">
        <v>0</v>
      </c>
      <c r="I23" s="41">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3">
      <c r="A24" s="1">
        <f>IF(A23&lt;'Project Information'!B$11,A23+1,"")</f>
        <v>2043</v>
      </c>
      <c r="B24" s="41">
        <v>0</v>
      </c>
      <c r="C24" s="41">
        <v>0</v>
      </c>
      <c r="D24" s="41">
        <v>0</v>
      </c>
      <c r="E24" s="41">
        <v>0</v>
      </c>
      <c r="F24" s="41">
        <v>0</v>
      </c>
      <c r="G24" s="41">
        <v>0</v>
      </c>
      <c r="H24" s="41">
        <v>0</v>
      </c>
      <c r="I24" s="41">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3">
      <c r="A25" s="1">
        <f>IF(A24&lt;'Project Information'!B$11,A24+1,"")</f>
        <v>2044</v>
      </c>
      <c r="B25" s="41">
        <v>0</v>
      </c>
      <c r="C25" s="41">
        <v>0</v>
      </c>
      <c r="D25" s="41">
        <v>0</v>
      </c>
      <c r="E25" s="41">
        <v>0</v>
      </c>
      <c r="F25" s="41">
        <v>0</v>
      </c>
      <c r="G25" s="41">
        <v>0</v>
      </c>
      <c r="H25" s="41">
        <v>0</v>
      </c>
      <c r="I25" s="41">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3">
      <c r="A26" s="1">
        <f>IF(A25&lt;'Project Information'!B$11,A25+1,"")</f>
        <v>2045</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3">
      <c r="A27" s="1">
        <f>IF(A26&lt;'Project Information'!B$11,A26+1,"")</f>
        <v>2046</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3">
      <c r="A28" s="1">
        <f>IF(A27&lt;'Project Information'!B$11,A27+1,"")</f>
        <v>2047</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3">
      <c r="A29" s="1">
        <f>IF(A28&lt;'Project Information'!B$11,A28+1,"")</f>
        <v>2048</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3">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3">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3">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3">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3">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3">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3">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3">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3">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3">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3">
      <c r="O40" s="147"/>
      <c r="BJ40" s="148"/>
    </row>
    <row r="41" spans="1:62" s="5" customFormat="1" x14ac:dyDescent="0.3">
      <c r="O41" s="147"/>
      <c r="BJ41" s="148"/>
    </row>
    <row r="42" spans="1:62" s="5" customFormat="1" x14ac:dyDescent="0.3">
      <c r="O42" s="147"/>
      <c r="BJ42" s="148"/>
    </row>
    <row r="43" spans="1:62" s="5" customFormat="1" x14ac:dyDescent="0.3">
      <c r="O43" s="147"/>
      <c r="BJ43" s="148"/>
    </row>
    <row r="44" spans="1:62" s="5" customFormat="1" x14ac:dyDescent="0.3">
      <c r="O44" s="147"/>
      <c r="BJ44" s="148"/>
    </row>
    <row r="45" spans="1:62" s="5" customFormat="1" x14ac:dyDescent="0.3">
      <c r="O45" s="147"/>
      <c r="BJ45" s="148"/>
    </row>
    <row r="46" spans="1:62" s="5" customFormat="1" x14ac:dyDescent="0.3">
      <c r="O46" s="147"/>
      <c r="BJ46" s="148"/>
    </row>
    <row r="47" spans="1:62" s="5" customFormat="1" x14ac:dyDescent="0.3">
      <c r="O47" s="147"/>
      <c r="BJ47" s="148"/>
    </row>
    <row r="48" spans="1:62" s="5" customFormat="1" ht="15" thickBot="1" x14ac:dyDescent="0.35">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sheetData>
  <mergeCells count="6">
    <mergeCell ref="L8:M8"/>
    <mergeCell ref="B8:C8"/>
    <mergeCell ref="D8:E8"/>
    <mergeCell ref="F8:G8"/>
    <mergeCell ref="H8:I8"/>
    <mergeCell ref="J8:K8"/>
  </mergeCells>
  <conditionalFormatting sqref="B10:M39">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Z48"/>
  <sheetViews>
    <sheetView zoomScale="115" zoomScaleNormal="115" workbookViewId="0">
      <selection activeCell="G10" sqref="G10"/>
    </sheetView>
  </sheetViews>
  <sheetFormatPr defaultColWidth="9.109375" defaultRowHeight="14.4" x14ac:dyDescent="0.3"/>
  <cols>
    <col min="1" max="1" width="28.88671875" style="5" customWidth="1"/>
    <col min="2" max="2" width="39.5546875" style="5" bestFit="1" customWidth="1"/>
    <col min="3" max="3" width="28" style="5" customWidth="1"/>
    <col min="4" max="5" width="9.109375" style="5"/>
    <col min="6" max="7" width="12.88671875" style="5" bestFit="1" customWidth="1"/>
    <col min="8" max="16384" width="9.109375" style="5"/>
  </cols>
  <sheetData>
    <row r="1" spans="1:52" ht="20.399999999999999" thickBot="1" x14ac:dyDescent="0.45">
      <c r="A1" s="96" t="s">
        <v>219</v>
      </c>
    </row>
    <row r="2" spans="1:52" ht="15" thickTop="1" x14ac:dyDescent="0.3">
      <c r="A2" s="153" t="s">
        <v>181</v>
      </c>
      <c r="B2" s="152"/>
      <c r="C2" s="152"/>
      <c r="D2" s="152"/>
      <c r="E2" s="152"/>
      <c r="F2" s="152"/>
      <c r="G2" s="152"/>
      <c r="H2" s="152"/>
      <c r="I2" s="152"/>
    </row>
    <row r="3" spans="1:52" x14ac:dyDescent="0.3">
      <c r="A3" s="38" t="s">
        <v>205</v>
      </c>
    </row>
    <row r="4" spans="1:52" x14ac:dyDescent="0.3">
      <c r="A4" s="119">
        <v>0</v>
      </c>
      <c r="B4" s="5" t="s">
        <v>356</v>
      </c>
    </row>
    <row r="5" spans="1:52" x14ac:dyDescent="0.3">
      <c r="A5" s="120">
        <v>0</v>
      </c>
      <c r="B5" s="5" t="s">
        <v>357</v>
      </c>
    </row>
    <row r="6" spans="1:52" x14ac:dyDescent="0.3">
      <c r="A6" s="29" t="s">
        <v>205</v>
      </c>
    </row>
    <row r="7" spans="1:52" ht="15" thickBot="1" x14ac:dyDescent="0.35">
      <c r="A7" s="97" t="s">
        <v>256</v>
      </c>
    </row>
    <row r="8" spans="1:52" x14ac:dyDescent="0.3">
      <c r="A8" s="115" t="s">
        <v>4</v>
      </c>
      <c r="B8" s="113" t="s">
        <v>157</v>
      </c>
      <c r="C8" s="108" t="s">
        <v>355</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3">
      <c r="A9" s="30">
        <f>'Project Information'!B7</f>
        <v>2026</v>
      </c>
      <c r="B9" s="22">
        <f>(2/5)*G10</f>
        <v>11977727.600000001</v>
      </c>
      <c r="C9" s="8">
        <f>B9/(1+$A$4)^(A9-Overview!$B$22)</f>
        <v>11977727.600000001</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
      <c r="A10" s="1">
        <f>IF(A9&lt;$A$9+'Project Information'!$B$8-1,A9+1,"")</f>
        <v>2027</v>
      </c>
      <c r="B10" s="22">
        <f>(2/5)*G10</f>
        <v>11977727.600000001</v>
      </c>
      <c r="C10" s="8">
        <f>IFERROR(B10/(1+$A$4)^(A10-Overview!$B$22),0)</f>
        <v>11977727.600000001</v>
      </c>
      <c r="E10" s="13"/>
      <c r="F10" s="278" t="s">
        <v>219</v>
      </c>
      <c r="G10" s="278">
        <v>29944319</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
      <c r="A11" s="1">
        <f>IF(A10&lt;$A$9+'Project Information'!$B$8-1,A10+1,"")</f>
        <v>2028</v>
      </c>
      <c r="B11" s="22">
        <f>(1/5)*G10</f>
        <v>5988863.8000000007</v>
      </c>
      <c r="C11" s="8">
        <f>IFERROR(B11/(1+$A$4)^(A11-Overview!$B$22),0)</f>
        <v>5988863.8000000007</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
      <c r="A12" s="1" t="str">
        <f>IF(A11&lt;$A$9+'Project Information'!$B$8-1,A11+1,"")</f>
        <v/>
      </c>
      <c r="B12" s="22">
        <v>0</v>
      </c>
      <c r="C12" s="8">
        <f>IFERROR(B12/(1+$A$4)^(A12-Overview!$B$22),0)</f>
        <v>0</v>
      </c>
      <c r="E12" s="277"/>
      <c r="F12" s="187" t="s">
        <v>446</v>
      </c>
      <c r="G12" s="187"/>
      <c r="H12" s="187"/>
      <c r="I12" s="187"/>
      <c r="J12" s="187"/>
      <c r="K12" s="187"/>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
      <c r="A13" s="1" t="str">
        <f>IF(A12&lt;$A$9+'Project Information'!$B$8-1,A12+1,"")</f>
        <v/>
      </c>
      <c r="B13" s="22">
        <v>0</v>
      </c>
      <c r="C13" s="8">
        <f>IFERROR(B13/(1+$A$4)^(A13-Overview!$B$22),0)</f>
        <v>0</v>
      </c>
      <c r="E13" s="13"/>
      <c r="F13" s="187" t="s">
        <v>447</v>
      </c>
      <c r="G13" s="187"/>
      <c r="H13" s="187"/>
      <c r="I13" s="187"/>
      <c r="J13" s="187"/>
      <c r="K13" s="187"/>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3">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3">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3">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3">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3">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3">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3">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3">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3">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3">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3">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3">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3">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3">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3">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 thickBot="1" x14ac:dyDescent="0.35">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97"/>
  <sheetViews>
    <sheetView zoomScaleNormal="100" workbookViewId="0">
      <selection activeCell="G29" sqref="G29"/>
    </sheetView>
  </sheetViews>
  <sheetFormatPr defaultColWidth="9.109375" defaultRowHeight="14.4" x14ac:dyDescent="0.3"/>
  <cols>
    <col min="1" max="1" width="28.5546875" style="5" customWidth="1"/>
    <col min="2" max="2" width="42" style="5" customWidth="1"/>
    <col min="3" max="3" width="37.88671875" style="5" customWidth="1"/>
    <col min="4" max="4" width="46.5546875" style="5" customWidth="1"/>
    <col min="5" max="6" width="9.109375" style="5"/>
    <col min="7" max="7" width="27.5546875" style="5" customWidth="1"/>
    <col min="8" max="16384" width="9.109375" style="5"/>
  </cols>
  <sheetData>
    <row r="1" spans="1:54" ht="20.399999999999999" thickBot="1" x14ac:dyDescent="0.45">
      <c r="A1" s="96" t="s">
        <v>222</v>
      </c>
    </row>
    <row r="2" spans="1:54" ht="15" thickTop="1" x14ac:dyDescent="0.3">
      <c r="A2" s="153" t="s">
        <v>265</v>
      </c>
      <c r="B2" s="152"/>
      <c r="C2" s="152"/>
      <c r="D2" s="152"/>
      <c r="E2" s="152"/>
    </row>
    <row r="3" spans="1:54" x14ac:dyDescent="0.3">
      <c r="A3" s="5" t="s">
        <v>205</v>
      </c>
    </row>
    <row r="4" spans="1:54" x14ac:dyDescent="0.3">
      <c r="A4" s="153" t="s">
        <v>340</v>
      </c>
      <c r="B4" s="153"/>
      <c r="C4" s="153"/>
      <c r="D4" s="153"/>
      <c r="E4" s="153"/>
      <c r="F4" s="153"/>
    </row>
    <row r="5" spans="1:54" x14ac:dyDescent="0.3">
      <c r="A5" s="5" t="s">
        <v>205</v>
      </c>
    </row>
    <row r="6" spans="1:54" ht="15" thickBot="1" x14ac:dyDescent="0.35">
      <c r="A6" s="97" t="s">
        <v>255</v>
      </c>
    </row>
    <row r="7" spans="1:54" x14ac:dyDescent="0.3">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3">
      <c r="A8" s="6">
        <f>'Project Information'!$B$9</f>
        <v>2029</v>
      </c>
      <c r="B8" s="22">
        <v>0</v>
      </c>
      <c r="C8" s="22">
        <f>$H$16+$H$19</f>
        <v>636443.18999999994</v>
      </c>
      <c r="D8" s="26">
        <f>C8-B8</f>
        <v>636443.18999999994</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3">
      <c r="A9" s="1">
        <f>IF(A8&lt;'Project Information'!B$11,A8+1,"")</f>
        <v>2030</v>
      </c>
      <c r="B9" s="22">
        <v>0</v>
      </c>
      <c r="C9" s="22">
        <f t="shared" ref="C9:C27" si="0">$H$16+$H$19</f>
        <v>636443.18999999994</v>
      </c>
      <c r="D9" s="8">
        <f t="shared" ref="D9:D37" si="1">C9-B9</f>
        <v>636443.18999999994</v>
      </c>
      <c r="G9" s="208" t="s">
        <v>368</v>
      </c>
      <c r="H9" s="243" t="s">
        <v>365</v>
      </c>
      <c r="I9" s="243"/>
      <c r="J9" s="243"/>
      <c r="K9" s="243"/>
      <c r="L9" s="243"/>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3">
      <c r="A10" s="1">
        <f>IF(A9&lt;'Project Information'!B$11,A9+1,"")</f>
        <v>2031</v>
      </c>
      <c r="B10" s="22">
        <v>0</v>
      </c>
      <c r="C10" s="22">
        <f t="shared" si="0"/>
        <v>636443.18999999994</v>
      </c>
      <c r="D10" s="8">
        <f t="shared" si="1"/>
        <v>636443.18999999994</v>
      </c>
      <c r="G10" s="209" t="s">
        <v>363</v>
      </c>
      <c r="H10" s="187">
        <v>80000</v>
      </c>
      <c r="I10" s="187"/>
      <c r="J10" s="187"/>
      <c r="K10" s="187"/>
      <c r="L10" s="187"/>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3">
      <c r="A11" s="1">
        <f>IF(A10&lt;'Project Information'!B$11,A10+1,"")</f>
        <v>2032</v>
      </c>
      <c r="B11" s="22">
        <v>0</v>
      </c>
      <c r="C11" s="22">
        <f t="shared" si="0"/>
        <v>636443.18999999994</v>
      </c>
      <c r="D11" s="8">
        <f t="shared" si="1"/>
        <v>636443.18999999994</v>
      </c>
      <c r="G11" s="209" t="s">
        <v>366</v>
      </c>
      <c r="H11" s="187">
        <v>76300</v>
      </c>
      <c r="I11" s="187"/>
      <c r="J11" s="187"/>
      <c r="K11" s="187"/>
      <c r="L11" s="187"/>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3">
      <c r="A12" s="1">
        <f>IF(A11&lt;'Project Information'!B$11,A11+1,"")</f>
        <v>2033</v>
      </c>
      <c r="B12" s="22">
        <v>0</v>
      </c>
      <c r="C12" s="22">
        <f t="shared" si="0"/>
        <v>636443.18999999994</v>
      </c>
      <c r="D12" s="8">
        <f t="shared" si="1"/>
        <v>636443.18999999994</v>
      </c>
      <c r="G12" s="209" t="s">
        <v>362</v>
      </c>
      <c r="H12" s="187">
        <v>69180</v>
      </c>
      <c r="I12" s="187"/>
      <c r="J12" s="187"/>
      <c r="K12" s="187"/>
      <c r="L12" s="187"/>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3">
      <c r="A13" s="1">
        <f>IF(A12&lt;'Project Information'!B$11,A12+1,"")</f>
        <v>2034</v>
      </c>
      <c r="B13" s="22">
        <v>0</v>
      </c>
      <c r="C13" s="22">
        <f t="shared" si="0"/>
        <v>636443.18999999994</v>
      </c>
      <c r="D13" s="8">
        <f t="shared" si="1"/>
        <v>636443.18999999994</v>
      </c>
      <c r="G13" s="209" t="s">
        <v>364</v>
      </c>
      <c r="H13" s="187">
        <v>46120</v>
      </c>
      <c r="I13" s="187"/>
      <c r="J13" s="187"/>
      <c r="K13" s="187"/>
      <c r="L13" s="187"/>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3">
      <c r="A14" s="1">
        <f>IF(A13&lt;'Project Information'!B$11,A13+1,"")</f>
        <v>2035</v>
      </c>
      <c r="B14" s="22">
        <v>0</v>
      </c>
      <c r="C14" s="22">
        <f t="shared" si="0"/>
        <v>636443.18999999994</v>
      </c>
      <c r="D14" s="8">
        <f t="shared" si="1"/>
        <v>636443.18999999994</v>
      </c>
      <c r="G14" s="209" t="s">
        <v>367</v>
      </c>
      <c r="H14" s="187">
        <f>32700*2</f>
        <v>65400</v>
      </c>
      <c r="I14" s="187"/>
      <c r="J14" s="187"/>
      <c r="K14" s="187"/>
      <c r="L14" s="187"/>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3">
      <c r="A15" s="1">
        <f>IF(A14&lt;'Project Information'!B$11,A14+1,"")</f>
        <v>2036</v>
      </c>
      <c r="B15" s="22">
        <v>0</v>
      </c>
      <c r="C15" s="22">
        <f t="shared" si="0"/>
        <v>636443.18999999994</v>
      </c>
      <c r="D15" s="8">
        <f t="shared" si="1"/>
        <v>636443.18999999994</v>
      </c>
      <c r="G15" s="209"/>
      <c r="H15" s="187"/>
      <c r="I15" s="187"/>
      <c r="J15" s="187"/>
      <c r="K15" s="187"/>
      <c r="L15" s="187"/>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3">
      <c r="A16" s="1">
        <f>IF(A15&lt;'Project Information'!B$11,A15+1,"")</f>
        <v>2037</v>
      </c>
      <c r="B16" s="22">
        <v>0</v>
      </c>
      <c r="C16" s="22">
        <f t="shared" si="0"/>
        <v>636443.18999999994</v>
      </c>
      <c r="D16" s="8">
        <f t="shared" si="1"/>
        <v>636443.18999999994</v>
      </c>
      <c r="G16" s="242" t="s">
        <v>452</v>
      </c>
      <c r="H16" s="283">
        <f>SUM(H10:H14)</f>
        <v>337000</v>
      </c>
      <c r="I16" s="187"/>
      <c r="J16" s="187"/>
      <c r="K16" s="187"/>
      <c r="L16" s="187"/>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3">
      <c r="A17" s="1">
        <f>IF(A16&lt;'Project Information'!B$11,A16+1,"")</f>
        <v>2038</v>
      </c>
      <c r="B17" s="22">
        <v>0</v>
      </c>
      <c r="C17" s="22">
        <f t="shared" si="0"/>
        <v>636443.18999999994</v>
      </c>
      <c r="D17" s="8">
        <f t="shared" si="1"/>
        <v>636443.18999999994</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3">
      <c r="A18" s="1">
        <f>IF(A17&lt;'Project Information'!B$11,A17+1,"")</f>
        <v>2039</v>
      </c>
      <c r="B18" s="22">
        <v>0</v>
      </c>
      <c r="C18" s="22">
        <f t="shared" si="0"/>
        <v>636443.18999999994</v>
      </c>
      <c r="D18" s="8">
        <f t="shared" si="1"/>
        <v>636443.18999999994</v>
      </c>
      <c r="G18" s="281" t="s">
        <v>451</v>
      </c>
      <c r="H18" s="243"/>
      <c r="I18" s="243"/>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3">
      <c r="A19" s="1">
        <f>IF(A18&lt;'Project Information'!B$11,A18+1,"")</f>
        <v>2040</v>
      </c>
      <c r="B19" s="22">
        <v>0</v>
      </c>
      <c r="C19" s="22">
        <f t="shared" si="0"/>
        <v>636443.18999999994</v>
      </c>
      <c r="D19" s="8">
        <f t="shared" si="1"/>
        <v>636443.18999999994</v>
      </c>
      <c r="G19" s="282"/>
      <c r="H19" s="282">
        <f>'Capital Costs'!$G$10*0.01</f>
        <v>299443.19</v>
      </c>
      <c r="I19" s="243"/>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3">
      <c r="A20" s="1">
        <f>IF(A19&lt;'Project Information'!B$11,A19+1,"")</f>
        <v>2041</v>
      </c>
      <c r="B20" s="22">
        <v>0</v>
      </c>
      <c r="C20" s="22">
        <f t="shared" si="0"/>
        <v>636443.18999999994</v>
      </c>
      <c r="D20" s="8">
        <f t="shared" si="1"/>
        <v>636443.18999999994</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
      <c r="A21" s="1">
        <f>IF(A20&lt;'Project Information'!B$11,A20+1,"")</f>
        <v>2042</v>
      </c>
      <c r="B21" s="22">
        <v>0</v>
      </c>
      <c r="C21" s="22">
        <f t="shared" si="0"/>
        <v>636443.18999999994</v>
      </c>
      <c r="D21" s="8">
        <f t="shared" si="1"/>
        <v>636443.18999999994</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3">
      <c r="A22" s="1">
        <f>IF(A21&lt;'Project Information'!B$11,A21+1,"")</f>
        <v>2043</v>
      </c>
      <c r="B22" s="22">
        <v>0</v>
      </c>
      <c r="C22" s="22">
        <f t="shared" si="0"/>
        <v>636443.18999999994</v>
      </c>
      <c r="D22" s="8">
        <f t="shared" si="1"/>
        <v>636443.18999999994</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
      <c r="A23" s="1">
        <f>IF(A22&lt;'Project Information'!B$11,A22+1,"")</f>
        <v>2044</v>
      </c>
      <c r="B23" s="22">
        <v>0</v>
      </c>
      <c r="C23" s="22">
        <f t="shared" si="0"/>
        <v>636443.18999999994</v>
      </c>
      <c r="D23" s="8">
        <f t="shared" si="1"/>
        <v>636443.18999999994</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
      <c r="A24" s="1">
        <f>IF(A23&lt;'Project Information'!B$11,A23+1,"")</f>
        <v>2045</v>
      </c>
      <c r="B24" s="22">
        <v>0</v>
      </c>
      <c r="C24" s="22">
        <f t="shared" si="0"/>
        <v>636443.18999999994</v>
      </c>
      <c r="D24" s="8">
        <f t="shared" si="1"/>
        <v>636443.18999999994</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
      <c r="A25" s="1">
        <f>IF(A24&lt;'Project Information'!B$11,A24+1,"")</f>
        <v>2046</v>
      </c>
      <c r="B25" s="22">
        <v>0</v>
      </c>
      <c r="C25" s="22">
        <f t="shared" si="0"/>
        <v>636443.18999999994</v>
      </c>
      <c r="D25" s="8">
        <f t="shared" si="1"/>
        <v>636443.18999999994</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
      <c r="A26" s="1">
        <f>IF(A25&lt;'Project Information'!B$11,A25+1,"")</f>
        <v>2047</v>
      </c>
      <c r="B26" s="22">
        <v>0</v>
      </c>
      <c r="C26" s="22">
        <f t="shared" si="0"/>
        <v>636443.18999999994</v>
      </c>
      <c r="D26" s="8">
        <f t="shared" si="1"/>
        <v>636443.18999999994</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
      <c r="A27" s="1">
        <f>IF(A26&lt;'Project Information'!B$11,A26+1,"")</f>
        <v>2048</v>
      </c>
      <c r="B27" s="22">
        <v>0</v>
      </c>
      <c r="C27" s="22">
        <f t="shared" si="0"/>
        <v>636443.18999999994</v>
      </c>
      <c r="D27" s="8">
        <f t="shared" si="1"/>
        <v>636443.18999999994</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
      <c r="A28" s="1" t="str">
        <f>IF(A27&lt;'Project Information'!B$11,A27+1,"")</f>
        <v/>
      </c>
      <c r="B28" s="22">
        <v>0</v>
      </c>
      <c r="C28" s="22">
        <v>0</v>
      </c>
      <c r="D28" s="8">
        <f t="shared" si="1"/>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
      <c r="A29" s="1" t="str">
        <f>IF(A28&lt;'Project Information'!B$11,A28+1,"")</f>
        <v/>
      </c>
      <c r="B29" s="22">
        <v>0</v>
      </c>
      <c r="C29" s="22">
        <v>0</v>
      </c>
      <c r="D29" s="8">
        <f t="shared" si="1"/>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
      <c r="A30" s="1" t="str">
        <f>IF(A29&lt;'Project Information'!B$11,A29+1,"")</f>
        <v/>
      </c>
      <c r="B30" s="22">
        <v>0</v>
      </c>
      <c r="C30" s="22">
        <v>0</v>
      </c>
      <c r="D30" s="8">
        <f t="shared" si="1"/>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
      <c r="A31" s="1" t="str">
        <f>IF(A30&lt;'Project Information'!B$11,A30+1,"")</f>
        <v/>
      </c>
      <c r="B31" s="22">
        <v>0</v>
      </c>
      <c r="C31" s="22">
        <v>0</v>
      </c>
      <c r="D31" s="8">
        <f t="shared" si="1"/>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
      <c r="A32" s="1" t="str">
        <f>IF(A31&lt;'Project Information'!B$11,A31+1,"")</f>
        <v/>
      </c>
      <c r="B32" s="22">
        <v>0</v>
      </c>
      <c r="C32" s="22">
        <v>0</v>
      </c>
      <c r="D32" s="8">
        <f t="shared" si="1"/>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
      <c r="A33" s="1" t="str">
        <f>IF(A32&lt;'Project Information'!B$11,A32+1,"")</f>
        <v/>
      </c>
      <c r="B33" s="22">
        <v>0</v>
      </c>
      <c r="C33" s="22">
        <v>0</v>
      </c>
      <c r="D33" s="8">
        <f t="shared" si="1"/>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
      <c r="A34" s="1" t="str">
        <f>IF(A33&lt;'Project Information'!B$11,A33+1,"")</f>
        <v/>
      </c>
      <c r="B34" s="22">
        <v>0</v>
      </c>
      <c r="C34" s="22">
        <v>0</v>
      </c>
      <c r="D34" s="8">
        <f t="shared" si="1"/>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
      <c r="A35" s="1" t="str">
        <f>IF(A34&lt;'Project Information'!B$11,A34+1,"")</f>
        <v/>
      </c>
      <c r="B35" s="22">
        <v>0</v>
      </c>
      <c r="C35" s="22">
        <v>0</v>
      </c>
      <c r="D35" s="8">
        <f t="shared" si="1"/>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
      <c r="A36" s="1" t="str">
        <f>IF(A35&lt;'Project Information'!B$11,A35+1,"")</f>
        <v/>
      </c>
      <c r="B36" s="22">
        <v>0</v>
      </c>
      <c r="C36" s="22">
        <v>0</v>
      </c>
      <c r="D36" s="8">
        <f t="shared" si="1"/>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
      <c r="A37" s="1" t="str">
        <f>IF(A36&lt;'Project Information'!B$11,A36+1,"")</f>
        <v/>
      </c>
      <c r="B37" s="22">
        <v>0</v>
      </c>
      <c r="C37" s="22">
        <v>0</v>
      </c>
      <c r="D37" s="8">
        <f t="shared" si="1"/>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3">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3">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3">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3">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3">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3">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3">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3">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3">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3">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3">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3">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3">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3">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3">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3">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 thickBot="1" x14ac:dyDescent="0.35">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61"/>
  <sheetViews>
    <sheetView topLeftCell="B1" zoomScaleNormal="100" workbookViewId="0">
      <selection activeCell="S35" sqref="S35"/>
    </sheetView>
  </sheetViews>
  <sheetFormatPr defaultColWidth="9.109375" defaultRowHeight="14.4" x14ac:dyDescent="0.3"/>
  <cols>
    <col min="1" max="1" width="38.44140625" style="5" customWidth="1"/>
    <col min="2" max="2" width="25.33203125" style="5" customWidth="1"/>
    <col min="3" max="3" width="32.5546875" style="5" customWidth="1"/>
    <col min="4" max="4" width="22.6640625" style="5" customWidth="1"/>
    <col min="5" max="7" width="9.109375" style="5"/>
    <col min="8" max="8" width="13" style="5" bestFit="1" customWidth="1"/>
    <col min="9" max="9" width="11.6640625" style="5" bestFit="1" customWidth="1"/>
    <col min="10" max="10" width="10.33203125" style="5" bestFit="1" customWidth="1"/>
    <col min="11" max="11" width="8" style="5" bestFit="1" customWidth="1"/>
    <col min="12" max="12" width="20.109375" style="5" customWidth="1"/>
    <col min="13" max="13" width="6.5546875" style="5" bestFit="1" customWidth="1"/>
    <col min="14" max="14" width="15.33203125" style="5" bestFit="1" customWidth="1"/>
    <col min="15" max="16384" width="9.109375" style="5"/>
  </cols>
  <sheetData>
    <row r="1" spans="1:9" ht="20.399999999999999" thickBot="1" x14ac:dyDescent="0.45">
      <c r="A1" s="96" t="s">
        <v>8</v>
      </c>
    </row>
    <row r="2" spans="1:9" ht="15" thickTop="1" x14ac:dyDescent="0.3">
      <c r="A2" s="152" t="s">
        <v>245</v>
      </c>
      <c r="B2" s="152"/>
      <c r="C2" s="152"/>
      <c r="D2" s="152"/>
      <c r="E2" s="152"/>
      <c r="F2" s="152"/>
    </row>
    <row r="3" spans="1:9" x14ac:dyDescent="0.3">
      <c r="A3" s="5" t="s">
        <v>205</v>
      </c>
    </row>
    <row r="4" spans="1:9" x14ac:dyDescent="0.3">
      <c r="A4" s="153" t="s">
        <v>265</v>
      </c>
      <c r="B4" s="152"/>
      <c r="C4" s="152"/>
      <c r="D4" s="152"/>
      <c r="E4" s="152"/>
      <c r="F4" s="152"/>
      <c r="G4" s="152"/>
      <c r="H4" s="152"/>
      <c r="I4" s="152"/>
    </row>
    <row r="5" spans="1:9" x14ac:dyDescent="0.3">
      <c r="A5" s="38" t="s">
        <v>205</v>
      </c>
    </row>
    <row r="6" spans="1:9" x14ac:dyDescent="0.3">
      <c r="A6" s="97" t="s">
        <v>246</v>
      </c>
    </row>
    <row r="7" spans="1:9" x14ac:dyDescent="0.3">
      <c r="A7" s="116" t="s">
        <v>22</v>
      </c>
      <c r="B7" s="116" t="str">
        <f>'Parameter Values'!B6</f>
        <v>Monetized Value (2022 $)</v>
      </c>
    </row>
    <row r="8" spans="1:9" x14ac:dyDescent="0.3">
      <c r="A8" s="35" t="s">
        <v>23</v>
      </c>
      <c r="B8" s="40">
        <f>'Parameter Values'!B7</f>
        <v>5000</v>
      </c>
    </row>
    <row r="9" spans="1:9" x14ac:dyDescent="0.3">
      <c r="A9" s="35" t="s">
        <v>24</v>
      </c>
      <c r="B9" s="40">
        <f>'Parameter Values'!B8</f>
        <v>111700</v>
      </c>
    </row>
    <row r="10" spans="1:9" x14ac:dyDescent="0.3">
      <c r="A10" s="35" t="s">
        <v>25</v>
      </c>
      <c r="B10" s="40">
        <f>'Parameter Values'!B9</f>
        <v>233800</v>
      </c>
    </row>
    <row r="11" spans="1:9" x14ac:dyDescent="0.3">
      <c r="A11" s="35" t="s">
        <v>26</v>
      </c>
      <c r="B11" s="40">
        <f>'Parameter Values'!B10</f>
        <v>1188200</v>
      </c>
    </row>
    <row r="12" spans="1:9" x14ac:dyDescent="0.3">
      <c r="A12" s="35" t="s">
        <v>27</v>
      </c>
      <c r="B12" s="40">
        <f>'Parameter Values'!B11</f>
        <v>12500000</v>
      </c>
    </row>
    <row r="13" spans="1:9" x14ac:dyDescent="0.3">
      <c r="A13" s="35" t="s">
        <v>28</v>
      </c>
      <c r="B13" s="40">
        <f>'Parameter Values'!B12</f>
        <v>217600</v>
      </c>
    </row>
    <row r="14" spans="1:9" x14ac:dyDescent="0.3">
      <c r="A14" s="129" t="s">
        <v>205</v>
      </c>
      <c r="B14" s="130"/>
    </row>
    <row r="15" spans="1:9" x14ac:dyDescent="0.3">
      <c r="A15" s="35" t="s">
        <v>29</v>
      </c>
    </row>
    <row r="16" spans="1:9" x14ac:dyDescent="0.3">
      <c r="A16" s="35" t="s">
        <v>268</v>
      </c>
      <c r="B16" s="40">
        <f>'Parameter Values'!B15</f>
        <v>9100</v>
      </c>
    </row>
    <row r="17" spans="1:54" x14ac:dyDescent="0.3">
      <c r="A17" s="35" t="s">
        <v>30</v>
      </c>
      <c r="B17" s="40">
        <f>'Parameter Values'!B16</f>
        <v>313000</v>
      </c>
    </row>
    <row r="18" spans="1:54" x14ac:dyDescent="0.3">
      <c r="A18" s="35" t="s">
        <v>31</v>
      </c>
      <c r="B18" s="40">
        <f>'Parameter Values'!B17</f>
        <v>14022900</v>
      </c>
    </row>
    <row r="19" spans="1:54" x14ac:dyDescent="0.3">
      <c r="A19" s="5" t="s">
        <v>205</v>
      </c>
    </row>
    <row r="20" spans="1:54" ht="15" thickBot="1" x14ac:dyDescent="0.35">
      <c r="A20" s="97" t="s">
        <v>247</v>
      </c>
    </row>
    <row r="21" spans="1:54" ht="29.4" thickBot="1" x14ac:dyDescent="0.6">
      <c r="A21" s="107" t="s">
        <v>4</v>
      </c>
      <c r="B21" s="108" t="s">
        <v>173</v>
      </c>
      <c r="C21" s="108" t="s">
        <v>174</v>
      </c>
      <c r="D21" s="114" t="s">
        <v>168</v>
      </c>
      <c r="G21"/>
      <c r="H21" s="322" t="s">
        <v>168</v>
      </c>
      <c r="I21" s="323"/>
      <c r="J21" s="323"/>
      <c r="K21" s="324"/>
      <c r="L21" s="58"/>
      <c r="M21" s="58"/>
      <c r="N21" s="58"/>
      <c r="O21" s="58"/>
      <c r="P21" s="58"/>
      <c r="Q21" s="59"/>
      <c r="R21"/>
      <c r="S21"/>
      <c r="T21"/>
      <c r="U21"/>
      <c r="V2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ht="15" thickTop="1" x14ac:dyDescent="0.3">
      <c r="A22" s="6">
        <f>'Project Information'!$B$9</f>
        <v>2029</v>
      </c>
      <c r="B22" s="22">
        <v>0</v>
      </c>
      <c r="C22" s="22">
        <f>-$K$45</f>
        <v>-6962739</v>
      </c>
      <c r="D22" s="26">
        <f>B22-C22</f>
        <v>6962739</v>
      </c>
      <c r="G22"/>
      <c r="H22" s="62"/>
      <c r="I22" s="204"/>
      <c r="J22" s="204"/>
      <c r="K22" s="204"/>
      <c r="L22" s="204"/>
      <c r="M22" s="204"/>
      <c r="N22" s="204"/>
      <c r="O22" s="204"/>
      <c r="P22" s="204"/>
      <c r="Q22" s="60"/>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ht="21" x14ac:dyDescent="0.3">
      <c r="A23" s="1">
        <f>IF(A22&lt;'Project Information'!B$11,A22+1,"")</f>
        <v>2030</v>
      </c>
      <c r="B23" s="22">
        <v>0</v>
      </c>
      <c r="C23" s="22">
        <f t="shared" ref="C23:C41" si="0">-$K$45</f>
        <v>-6962739</v>
      </c>
      <c r="D23" s="8">
        <f t="shared" ref="D23:D51" si="1">B23-C23</f>
        <v>6962739</v>
      </c>
      <c r="G23"/>
      <c r="H23" s="325" t="s">
        <v>421</v>
      </c>
      <c r="I23" s="326"/>
      <c r="J23" s="326"/>
      <c r="K23" s="326"/>
      <c r="L23" s="326"/>
      <c r="M23" s="326"/>
      <c r="N23" s="326"/>
      <c r="O23" s="198"/>
      <c r="P23" s="198"/>
      <c r="Q23" s="200"/>
      <c r="R23"/>
      <c r="S23"/>
      <c r="T23"/>
      <c r="U23"/>
      <c r="V23"/>
      <c r="W23"/>
      <c r="X23"/>
      <c r="Y23"/>
      <c r="Z23"/>
      <c r="AA23"/>
      <c r="AB23"/>
      <c r="AC23"/>
      <c r="AD23"/>
      <c r="AE23"/>
      <c r="AF23"/>
      <c r="AG23"/>
      <c r="AH23"/>
      <c r="AI23"/>
      <c r="AJ23"/>
      <c r="AK23"/>
      <c r="AL23"/>
      <c r="AM23"/>
      <c r="AN23"/>
      <c r="AO23"/>
      <c r="AP23"/>
      <c r="AQ23"/>
      <c r="AR23"/>
      <c r="AS23"/>
      <c r="AT23"/>
      <c r="AU23" s="14"/>
    </row>
    <row r="24" spans="1:54" ht="18.600000000000001" thickBot="1" x14ac:dyDescent="0.4">
      <c r="A24" s="1">
        <f>IF(A23&lt;'Project Information'!B$11,A23+1,"")</f>
        <v>2031</v>
      </c>
      <c r="B24" s="22">
        <v>0</v>
      </c>
      <c r="C24" s="22">
        <f t="shared" si="0"/>
        <v>-6962739</v>
      </c>
      <c r="D24" s="8">
        <f t="shared" si="1"/>
        <v>6962739</v>
      </c>
      <c r="G24" s="182"/>
      <c r="H24" s="210"/>
      <c r="I24" s="327" t="s">
        <v>397</v>
      </c>
      <c r="J24" s="328"/>
      <c r="K24" s="328"/>
      <c r="L24" s="328"/>
      <c r="M24" s="329"/>
      <c r="N24" s="211"/>
      <c r="O24" s="211"/>
      <c r="P24" s="198"/>
      <c r="Q24" s="200"/>
      <c r="R24"/>
      <c r="S24"/>
      <c r="T24"/>
      <c r="U24"/>
      <c r="V24"/>
      <c r="W24"/>
      <c r="X24"/>
      <c r="Y24"/>
      <c r="Z24"/>
      <c r="AA24"/>
      <c r="AB24"/>
      <c r="AC24"/>
      <c r="AD24"/>
      <c r="AE24"/>
      <c r="AF24"/>
      <c r="AG24"/>
      <c r="AH24"/>
      <c r="AI24"/>
      <c r="AJ24"/>
      <c r="AK24"/>
      <c r="AL24"/>
      <c r="AM24"/>
      <c r="AN24"/>
      <c r="AO24"/>
      <c r="AP24"/>
      <c r="AQ24"/>
      <c r="AR24"/>
      <c r="AS24"/>
      <c r="AT24"/>
      <c r="AU24" s="14"/>
    </row>
    <row r="25" spans="1:54" ht="18.600000000000001" thickBot="1" x14ac:dyDescent="0.4">
      <c r="A25" s="1">
        <f>IF(A24&lt;'Project Information'!B$11,A24+1,"")</f>
        <v>2032</v>
      </c>
      <c r="B25" s="22">
        <v>0</v>
      </c>
      <c r="C25" s="22">
        <f t="shared" si="0"/>
        <v>-6962739</v>
      </c>
      <c r="D25" s="8">
        <f t="shared" si="1"/>
        <v>6962739</v>
      </c>
      <c r="G25" s="182"/>
      <c r="H25" s="210"/>
      <c r="I25" s="212" t="s">
        <v>398</v>
      </c>
      <c r="J25" s="212" t="s">
        <v>399</v>
      </c>
      <c r="K25" s="212" t="s">
        <v>400</v>
      </c>
      <c r="L25" s="212" t="s">
        <v>401</v>
      </c>
      <c r="M25" s="213" t="s">
        <v>402</v>
      </c>
      <c r="N25" s="212" t="s">
        <v>21</v>
      </c>
      <c r="O25" s="211"/>
      <c r="P25" s="198"/>
      <c r="Q25" s="200"/>
      <c r="R25"/>
      <c r="S25"/>
      <c r="T25"/>
      <c r="U25"/>
      <c r="V25"/>
      <c r="W25"/>
      <c r="X25"/>
      <c r="Y25"/>
      <c r="Z25"/>
      <c r="AA25"/>
      <c r="AB25"/>
      <c r="AC25"/>
      <c r="AD25"/>
      <c r="AE25"/>
      <c r="AF25"/>
      <c r="AG25"/>
      <c r="AH25"/>
      <c r="AI25"/>
      <c r="AJ25"/>
      <c r="AK25"/>
      <c r="AL25"/>
      <c r="AM25"/>
      <c r="AN25"/>
      <c r="AO25"/>
      <c r="AP25"/>
      <c r="AQ25"/>
      <c r="AR25"/>
      <c r="AS25"/>
      <c r="AT25"/>
      <c r="AU25" s="14"/>
    </row>
    <row r="26" spans="1:54" ht="18.600000000000001" thickBot="1" x14ac:dyDescent="0.4">
      <c r="A26" s="1">
        <f>IF(A25&lt;'Project Information'!B$11,A25+1,"")</f>
        <v>2033</v>
      </c>
      <c r="B26" s="22">
        <v>0</v>
      </c>
      <c r="C26" s="22">
        <f t="shared" si="0"/>
        <v>-6962739</v>
      </c>
      <c r="D26" s="8">
        <f t="shared" si="1"/>
        <v>6962739</v>
      </c>
      <c r="G26" s="182"/>
      <c r="H26" s="214" t="s">
        <v>403</v>
      </c>
      <c r="I26" s="215">
        <v>14</v>
      </c>
      <c r="J26" s="216">
        <v>15</v>
      </c>
      <c r="K26" s="216">
        <v>36</v>
      </c>
      <c r="L26" s="216">
        <v>4</v>
      </c>
      <c r="M26" s="217">
        <v>1</v>
      </c>
      <c r="N26" s="218">
        <f>SUM(I26:M26)</f>
        <v>70</v>
      </c>
      <c r="O26" s="211"/>
      <c r="P26" s="198"/>
      <c r="Q26" s="200"/>
      <c r="R26"/>
      <c r="S26"/>
      <c r="T26"/>
      <c r="U26"/>
      <c r="V26"/>
      <c r="W26"/>
      <c r="X26"/>
      <c r="Y26"/>
      <c r="Z26"/>
      <c r="AA26"/>
      <c r="AB26"/>
      <c r="AC26"/>
      <c r="AD26"/>
      <c r="AE26"/>
      <c r="AF26"/>
      <c r="AG26"/>
      <c r="AH26"/>
      <c r="AI26"/>
      <c r="AJ26"/>
      <c r="AK26"/>
      <c r="AL26"/>
      <c r="AM26"/>
      <c r="AN26"/>
      <c r="AO26"/>
      <c r="AP26"/>
      <c r="AQ26"/>
      <c r="AR26"/>
      <c r="AS26"/>
      <c r="AT26"/>
      <c r="AU26" s="14"/>
    </row>
    <row r="27" spans="1:54" ht="18.600000000000001" thickBot="1" x14ac:dyDescent="0.4">
      <c r="A27" s="1">
        <f>IF(A26&lt;'Project Information'!B$11,A26+1,"")</f>
        <v>2034</v>
      </c>
      <c r="B27" s="22">
        <v>0</v>
      </c>
      <c r="C27" s="22">
        <f t="shared" si="0"/>
        <v>-6962739</v>
      </c>
      <c r="D27" s="8">
        <f t="shared" si="1"/>
        <v>6962739</v>
      </c>
      <c r="G27" s="182"/>
      <c r="H27" s="214" t="s">
        <v>404</v>
      </c>
      <c r="I27" s="219">
        <v>1</v>
      </c>
      <c r="J27" s="220">
        <v>6</v>
      </c>
      <c r="K27" s="220">
        <v>8</v>
      </c>
      <c r="L27" s="220">
        <v>5</v>
      </c>
      <c r="M27" s="221">
        <v>1</v>
      </c>
      <c r="N27" s="222">
        <f>SUM(I27:M27)</f>
        <v>21</v>
      </c>
      <c r="O27" s="211"/>
      <c r="P27" s="198"/>
      <c r="Q27" s="200"/>
      <c r="R27"/>
      <c r="S27"/>
      <c r="T27"/>
      <c r="U27"/>
      <c r="V27"/>
      <c r="W27"/>
      <c r="X27"/>
      <c r="Y27"/>
      <c r="Z27"/>
      <c r="AA27"/>
      <c r="AB27"/>
      <c r="AC27"/>
      <c r="AD27"/>
      <c r="AE27"/>
      <c r="AF27"/>
      <c r="AG27"/>
      <c r="AH27"/>
      <c r="AI27"/>
      <c r="AJ27"/>
      <c r="AK27"/>
      <c r="AL27"/>
      <c r="AM27"/>
      <c r="AN27"/>
      <c r="AO27"/>
      <c r="AP27"/>
      <c r="AQ27"/>
      <c r="AR27"/>
      <c r="AS27"/>
      <c r="AT27"/>
      <c r="AU27" s="14"/>
    </row>
    <row r="28" spans="1:54" x14ac:dyDescent="0.3">
      <c r="A28" s="1">
        <f>IF(A27&lt;'Project Information'!B$11,A27+1,"")</f>
        <v>2035</v>
      </c>
      <c r="B28" s="22">
        <v>0</v>
      </c>
      <c r="C28" s="22">
        <f t="shared" si="0"/>
        <v>-6962739</v>
      </c>
      <c r="D28" s="8">
        <f t="shared" si="1"/>
        <v>6962739</v>
      </c>
      <c r="G28"/>
      <c r="H28" s="223"/>
      <c r="I28" s="198"/>
      <c r="J28" s="198"/>
      <c r="K28" s="198"/>
      <c r="L28" s="198"/>
      <c r="M28" s="198"/>
      <c r="N28" s="198"/>
      <c r="O28" s="198"/>
      <c r="P28" s="198"/>
      <c r="Q28" s="200"/>
      <c r="R28"/>
      <c r="S28"/>
      <c r="T28"/>
      <c r="U28"/>
      <c r="V28"/>
      <c r="W28"/>
      <c r="X28"/>
      <c r="Y28"/>
      <c r="Z28"/>
      <c r="AA28"/>
      <c r="AB28"/>
      <c r="AC28"/>
      <c r="AD28"/>
      <c r="AE28"/>
      <c r="AF28"/>
      <c r="AG28"/>
      <c r="AH28"/>
      <c r="AI28"/>
      <c r="AJ28"/>
      <c r="AK28"/>
      <c r="AL28"/>
      <c r="AM28"/>
      <c r="AN28"/>
      <c r="AO28"/>
      <c r="AP28"/>
      <c r="AQ28"/>
      <c r="AR28"/>
      <c r="AS28"/>
      <c r="AT28"/>
      <c r="AU28" s="14"/>
    </row>
    <row r="29" spans="1:54" ht="15.6" x14ac:dyDescent="0.3">
      <c r="A29" s="1">
        <f>IF(A28&lt;'Project Information'!B$11,A28+1,"")</f>
        <v>2036</v>
      </c>
      <c r="B29" s="22">
        <v>0</v>
      </c>
      <c r="C29" s="22">
        <f t="shared" si="0"/>
        <v>-6962739</v>
      </c>
      <c r="D29" s="8">
        <f t="shared" si="1"/>
        <v>6962739</v>
      </c>
      <c r="G29"/>
      <c r="H29" s="358" t="s">
        <v>422</v>
      </c>
      <c r="I29" s="359"/>
      <c r="J29" s="359"/>
      <c r="K29" s="359"/>
      <c r="L29" s="359"/>
      <c r="M29" s="359"/>
      <c r="N29" s="359"/>
      <c r="O29" s="359"/>
      <c r="P29" s="359"/>
      <c r="Q29" s="360"/>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ht="15.6" x14ac:dyDescent="0.3">
      <c r="A30" s="1">
        <f>IF(A29&lt;'Project Information'!B$11,A29+1,"")</f>
        <v>2037</v>
      </c>
      <c r="B30" s="22">
        <v>0</v>
      </c>
      <c r="C30" s="22">
        <f t="shared" si="0"/>
        <v>-6962739</v>
      </c>
      <c r="D30" s="8">
        <f t="shared" si="1"/>
        <v>6962739</v>
      </c>
      <c r="G30"/>
      <c r="H30" s="224"/>
      <c r="I30" s="225"/>
      <c r="J30" s="225"/>
      <c r="K30" s="225"/>
      <c r="L30" s="225"/>
      <c r="M30" s="225"/>
      <c r="N30" s="225"/>
      <c r="O30" s="198"/>
      <c r="P30" s="198"/>
      <c r="Q30" s="20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ht="21.6" thickBot="1" x14ac:dyDescent="0.45">
      <c r="A31" s="1">
        <f>IF(A30&lt;'Project Information'!B$11,A30+1,"")</f>
        <v>2038</v>
      </c>
      <c r="B31" s="22">
        <v>0</v>
      </c>
      <c r="C31" s="22">
        <f t="shared" si="0"/>
        <v>-6962739</v>
      </c>
      <c r="D31" s="8">
        <f t="shared" si="1"/>
        <v>6962739</v>
      </c>
      <c r="G31"/>
      <c r="H31" s="330" t="s">
        <v>405</v>
      </c>
      <c r="I31" s="331"/>
      <c r="J31" s="331"/>
      <c r="K31" s="331"/>
      <c r="L31" s="226"/>
      <c r="M31" s="198"/>
      <c r="N31" s="286" t="s">
        <v>406</v>
      </c>
      <c r="O31" s="286"/>
      <c r="P31" s="286"/>
      <c r="Q31" s="200"/>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ht="18" x14ac:dyDescent="0.35">
      <c r="A32" s="1">
        <f>IF(A31&lt;'Project Information'!B$11,A31+1,"")</f>
        <v>2039</v>
      </c>
      <c r="B32" s="22">
        <v>0</v>
      </c>
      <c r="C32" s="22">
        <f t="shared" si="0"/>
        <v>-6962739</v>
      </c>
      <c r="D32" s="8">
        <f t="shared" si="1"/>
        <v>6962739</v>
      </c>
      <c r="G32" s="182"/>
      <c r="H32" s="332" t="s">
        <v>407</v>
      </c>
      <c r="I32" s="333"/>
      <c r="J32" s="334"/>
      <c r="K32" s="338" t="s">
        <v>423</v>
      </c>
      <c r="L32" s="339"/>
      <c r="M32" s="211"/>
      <c r="N32" s="340" t="s">
        <v>22</v>
      </c>
      <c r="O32" s="340" t="s">
        <v>424</v>
      </c>
      <c r="P32" s="340"/>
      <c r="Q32" s="227"/>
      <c r="R32" s="182"/>
      <c r="S32" s="182"/>
      <c r="T32" s="182"/>
      <c r="U32" s="182"/>
      <c r="V32" s="182"/>
      <c r="W32"/>
      <c r="X32"/>
      <c r="Y32"/>
      <c r="Z32"/>
      <c r="AA32"/>
      <c r="AB32"/>
      <c r="AC32"/>
      <c r="AD32"/>
      <c r="AE32"/>
      <c r="AF32"/>
      <c r="AG32"/>
      <c r="AH32"/>
      <c r="AI32"/>
      <c r="AJ32"/>
      <c r="AK32"/>
      <c r="AL32"/>
      <c r="AM32"/>
      <c r="AN32"/>
      <c r="AO32"/>
      <c r="AP32"/>
      <c r="AQ32"/>
      <c r="AR32"/>
      <c r="AS32"/>
      <c r="AT32"/>
      <c r="AU32"/>
      <c r="AV32"/>
      <c r="AW32"/>
      <c r="AX32"/>
      <c r="AY32"/>
      <c r="AZ32"/>
      <c r="BA32"/>
      <c r="BB32" s="14"/>
    </row>
    <row r="33" spans="1:54" ht="18.600000000000001" thickBot="1" x14ac:dyDescent="0.4">
      <c r="A33" s="1">
        <f>IF(A32&lt;'Project Information'!B$11,A32+1,"")</f>
        <v>2040</v>
      </c>
      <c r="B33" s="22">
        <v>0</v>
      </c>
      <c r="C33" s="22">
        <f t="shared" si="0"/>
        <v>-6962739</v>
      </c>
      <c r="D33" s="8">
        <f t="shared" si="1"/>
        <v>6962739</v>
      </c>
      <c r="G33" s="182"/>
      <c r="H33" s="335"/>
      <c r="I33" s="336"/>
      <c r="J33" s="337"/>
      <c r="K33" s="228" t="s">
        <v>408</v>
      </c>
      <c r="L33" s="229" t="s">
        <v>409</v>
      </c>
      <c r="M33" s="211"/>
      <c r="N33" s="341"/>
      <c r="O33" s="341"/>
      <c r="P33" s="341"/>
      <c r="Q33" s="227"/>
      <c r="R33" s="182"/>
      <c r="S33" s="182"/>
      <c r="T33" s="182"/>
      <c r="U33" s="182"/>
      <c r="V33" s="182"/>
      <c r="W33"/>
      <c r="X33"/>
      <c r="Y33"/>
      <c r="Z33"/>
      <c r="AA33"/>
      <c r="AB33"/>
      <c r="AC33"/>
      <c r="AD33"/>
      <c r="AE33"/>
      <c r="AF33"/>
      <c r="AG33"/>
      <c r="AH33"/>
      <c r="AI33"/>
      <c r="AJ33"/>
      <c r="AK33"/>
      <c r="AL33"/>
      <c r="AM33"/>
      <c r="AN33"/>
      <c r="AO33"/>
      <c r="AP33"/>
      <c r="AQ33"/>
      <c r="AR33"/>
      <c r="AS33"/>
      <c r="AT33"/>
      <c r="AU33"/>
      <c r="AV33"/>
      <c r="AW33"/>
      <c r="AX33"/>
      <c r="AY33"/>
      <c r="AZ33"/>
      <c r="BA33"/>
      <c r="BB33" s="14"/>
    </row>
    <row r="34" spans="1:54" ht="18" x14ac:dyDescent="0.35">
      <c r="A34" s="1">
        <f>IF(A33&lt;'Project Information'!B$11,A33+1,"")</f>
        <v>2041</v>
      </c>
      <c r="B34" s="22">
        <v>0</v>
      </c>
      <c r="C34" s="22">
        <f t="shared" si="0"/>
        <v>-6962739</v>
      </c>
      <c r="D34" s="8">
        <f t="shared" si="1"/>
        <v>6962739</v>
      </c>
      <c r="G34" s="182"/>
      <c r="H34" s="230" t="s">
        <v>410</v>
      </c>
      <c r="I34" s="346" t="s">
        <v>402</v>
      </c>
      <c r="J34" s="347"/>
      <c r="K34" s="231">
        <f>M26/5</f>
        <v>0.2</v>
      </c>
      <c r="L34" s="231">
        <f>M27/5</f>
        <v>0.2</v>
      </c>
      <c r="M34" s="211"/>
      <c r="N34" s="230" t="s">
        <v>410</v>
      </c>
      <c r="O34" s="348">
        <v>12500000</v>
      </c>
      <c r="P34" s="349"/>
      <c r="Q34" s="227"/>
      <c r="R34" s="182"/>
      <c r="S34" s="182"/>
      <c r="T34" s="182"/>
      <c r="U34" s="182"/>
      <c r="V34" s="182"/>
      <c r="W34"/>
      <c r="X34"/>
      <c r="Y34"/>
      <c r="Z34"/>
      <c r="AA34"/>
      <c r="AB34"/>
      <c r="AC34"/>
      <c r="AD34"/>
      <c r="AE34"/>
      <c r="AF34"/>
      <c r="AG34"/>
      <c r="AH34"/>
      <c r="AI34"/>
      <c r="AJ34"/>
      <c r="AK34"/>
      <c r="AL34"/>
      <c r="AM34"/>
      <c r="AN34"/>
      <c r="AO34"/>
      <c r="AP34"/>
      <c r="AQ34"/>
      <c r="AR34"/>
      <c r="AS34"/>
      <c r="AT34"/>
      <c r="AU34"/>
      <c r="AV34"/>
      <c r="AW34"/>
      <c r="AX34"/>
      <c r="AY34"/>
      <c r="AZ34"/>
      <c r="BA34"/>
      <c r="BB34" s="14"/>
    </row>
    <row r="35" spans="1:54" ht="18" x14ac:dyDescent="0.35">
      <c r="A35" s="1">
        <f>IF(A34&lt;'Project Information'!B$11,A34+1,"")</f>
        <v>2042</v>
      </c>
      <c r="B35" s="22">
        <v>0</v>
      </c>
      <c r="C35" s="22">
        <f t="shared" si="0"/>
        <v>-6962739</v>
      </c>
      <c r="D35" s="8">
        <f t="shared" si="1"/>
        <v>6962739</v>
      </c>
      <c r="G35" s="182"/>
      <c r="H35" s="232" t="s">
        <v>411</v>
      </c>
      <c r="I35" s="350" t="s">
        <v>412</v>
      </c>
      <c r="J35" s="351"/>
      <c r="K35" s="233">
        <f>L26/5</f>
        <v>0.8</v>
      </c>
      <c r="L35" s="233">
        <f>L27/5</f>
        <v>1</v>
      </c>
      <c r="M35" s="211"/>
      <c r="N35" s="232" t="s">
        <v>411</v>
      </c>
      <c r="O35" s="352">
        <v>1188200</v>
      </c>
      <c r="P35" s="353"/>
      <c r="Q35" s="227"/>
      <c r="R35" s="182"/>
      <c r="S35" s="182"/>
      <c r="T35" s="182"/>
      <c r="U35" s="182"/>
      <c r="V35" s="182"/>
      <c r="W35"/>
      <c r="X35"/>
      <c r="Y35"/>
      <c r="Z35"/>
      <c r="AA35"/>
      <c r="AB35"/>
      <c r="AC35"/>
      <c r="AD35"/>
      <c r="AE35"/>
      <c r="AF35"/>
      <c r="AG35"/>
      <c r="AH35"/>
      <c r="AI35"/>
      <c r="AJ35"/>
      <c r="AK35"/>
      <c r="AL35"/>
      <c r="AM35"/>
      <c r="AN35"/>
      <c r="AO35"/>
      <c r="AP35"/>
      <c r="AQ35"/>
      <c r="AR35"/>
      <c r="AS35"/>
      <c r="AT35"/>
      <c r="AU35"/>
      <c r="AV35"/>
      <c r="AW35"/>
      <c r="AX35"/>
      <c r="AY35"/>
      <c r="AZ35"/>
      <c r="BA35"/>
      <c r="BB35" s="14"/>
    </row>
    <row r="36" spans="1:54" ht="18" x14ac:dyDescent="0.35">
      <c r="A36" s="1">
        <f>IF(A35&lt;'Project Information'!B$11,A35+1,"")</f>
        <v>2043</v>
      </c>
      <c r="B36" s="22">
        <v>0</v>
      </c>
      <c r="C36" s="22">
        <f t="shared" si="0"/>
        <v>-6962739</v>
      </c>
      <c r="D36" s="8">
        <f t="shared" si="1"/>
        <v>6962739</v>
      </c>
      <c r="G36" s="182"/>
      <c r="H36" s="232" t="s">
        <v>413</v>
      </c>
      <c r="I36" s="350" t="s">
        <v>414</v>
      </c>
      <c r="J36" s="351"/>
      <c r="K36" s="233">
        <f>K26/3</f>
        <v>12</v>
      </c>
      <c r="L36" s="233">
        <f>K27/3</f>
        <v>2.6666666666666665</v>
      </c>
      <c r="M36" s="211"/>
      <c r="N36" s="232" t="s">
        <v>413</v>
      </c>
      <c r="O36" s="352">
        <v>233800</v>
      </c>
      <c r="P36" s="353"/>
      <c r="Q36" s="227"/>
      <c r="R36" s="182"/>
      <c r="S36" s="182"/>
      <c r="T36" s="182"/>
      <c r="U36" s="182"/>
      <c r="V36" s="182"/>
      <c r="W36"/>
      <c r="X36"/>
      <c r="Y36"/>
      <c r="Z36"/>
      <c r="AA36"/>
      <c r="AB36"/>
      <c r="AC36"/>
      <c r="AD36"/>
      <c r="AE36"/>
      <c r="AF36"/>
      <c r="AG36"/>
      <c r="AH36"/>
      <c r="AI36"/>
      <c r="AJ36"/>
      <c r="AK36"/>
      <c r="AL36"/>
      <c r="AM36"/>
      <c r="AN36"/>
      <c r="AO36"/>
      <c r="AP36"/>
      <c r="AQ36"/>
      <c r="AR36"/>
      <c r="AS36"/>
      <c r="AT36"/>
      <c r="AU36"/>
      <c r="AV36"/>
      <c r="AW36"/>
      <c r="AX36"/>
      <c r="AY36"/>
      <c r="AZ36"/>
      <c r="BA36"/>
      <c r="BB36" s="14"/>
    </row>
    <row r="37" spans="1:54" ht="18" x14ac:dyDescent="0.35">
      <c r="A37" s="1">
        <f>IF(A36&lt;'Project Information'!B$11,A36+1,"")</f>
        <v>2044</v>
      </c>
      <c r="B37" s="22">
        <v>0</v>
      </c>
      <c r="C37" s="22">
        <f t="shared" si="0"/>
        <v>-6962739</v>
      </c>
      <c r="D37" s="8">
        <f t="shared" si="1"/>
        <v>6962739</v>
      </c>
      <c r="G37" s="182"/>
      <c r="H37" s="232" t="s">
        <v>370</v>
      </c>
      <c r="I37" s="350" t="s">
        <v>399</v>
      </c>
      <c r="J37" s="351"/>
      <c r="K37" s="233">
        <f>J26/5</f>
        <v>3</v>
      </c>
      <c r="L37" s="233">
        <f>J27/5</f>
        <v>1.2</v>
      </c>
      <c r="M37" s="211"/>
      <c r="N37" s="232" t="s">
        <v>370</v>
      </c>
      <c r="O37" s="352">
        <v>111700</v>
      </c>
      <c r="P37" s="353"/>
      <c r="Q37" s="227"/>
      <c r="R37" s="182"/>
      <c r="S37" s="182"/>
      <c r="T37" s="182"/>
      <c r="U37" s="182"/>
      <c r="V37" s="182"/>
      <c r="W37"/>
      <c r="X37"/>
      <c r="Y37"/>
      <c r="Z37"/>
      <c r="AA37"/>
      <c r="AB37"/>
      <c r="AC37"/>
      <c r="AD37"/>
      <c r="AE37"/>
      <c r="AF37"/>
      <c r="AG37"/>
      <c r="AH37"/>
      <c r="AI37"/>
      <c r="AJ37"/>
      <c r="AK37"/>
      <c r="AL37"/>
      <c r="AM37"/>
      <c r="AN37"/>
      <c r="AO37"/>
      <c r="AP37"/>
      <c r="AQ37"/>
      <c r="AR37"/>
      <c r="AS37"/>
      <c r="AT37"/>
      <c r="AU37"/>
      <c r="AV37"/>
      <c r="AW37"/>
      <c r="AX37"/>
      <c r="AY37"/>
      <c r="AZ37"/>
      <c r="BA37"/>
      <c r="BB37" s="14"/>
    </row>
    <row r="38" spans="1:54" ht="18" x14ac:dyDescent="0.35">
      <c r="A38" s="1">
        <f>IF(A37&lt;'Project Information'!B$11,A37+1,"")</f>
        <v>2045</v>
      </c>
      <c r="B38" s="22">
        <v>0</v>
      </c>
      <c r="C38" s="22">
        <f t="shared" si="0"/>
        <v>-6962739</v>
      </c>
      <c r="D38" s="8">
        <f t="shared" si="1"/>
        <v>6962739</v>
      </c>
      <c r="G38" s="182"/>
      <c r="H38" s="232" t="s">
        <v>415</v>
      </c>
      <c r="I38" s="350" t="s">
        <v>398</v>
      </c>
      <c r="J38" s="351"/>
      <c r="K38" s="233">
        <f>I26/5</f>
        <v>2.8</v>
      </c>
      <c r="L38" s="233">
        <f>I27/5</f>
        <v>0.2</v>
      </c>
      <c r="M38" s="211"/>
      <c r="N38" s="232" t="s">
        <v>415</v>
      </c>
      <c r="O38" s="352">
        <v>5000</v>
      </c>
      <c r="P38" s="353"/>
      <c r="Q38" s="227"/>
      <c r="R38" s="182"/>
      <c r="S38" s="182"/>
      <c r="T38" s="182"/>
      <c r="U38" s="182"/>
      <c r="V38" s="182"/>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
      <c r="A39" s="1">
        <f>IF(A38&lt;'Project Information'!B$11,A38+1,"")</f>
        <v>2046</v>
      </c>
      <c r="B39" s="22">
        <v>0</v>
      </c>
      <c r="C39" s="22">
        <f t="shared" si="0"/>
        <v>-6962739</v>
      </c>
      <c r="D39" s="8">
        <f t="shared" si="1"/>
        <v>6962739</v>
      </c>
      <c r="G39"/>
      <c r="H39" s="234"/>
      <c r="I39" s="198"/>
      <c r="J39" s="235"/>
      <c r="K39" s="235"/>
      <c r="L39" s="198"/>
      <c r="M39" s="236"/>
      <c r="N39" s="237"/>
      <c r="O39" s="198"/>
      <c r="P39" s="198"/>
      <c r="Q39" s="200"/>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
      <c r="A40" s="1">
        <f>IF(A39&lt;'Project Information'!B$11,A39+1,"")</f>
        <v>2047</v>
      </c>
      <c r="B40" s="22">
        <v>0</v>
      </c>
      <c r="C40" s="22">
        <f t="shared" si="0"/>
        <v>-6962739</v>
      </c>
      <c r="D40" s="8">
        <f t="shared" si="1"/>
        <v>6962739</v>
      </c>
      <c r="G40"/>
      <c r="H40" s="223"/>
      <c r="I40" s="198"/>
      <c r="J40" s="198"/>
      <c r="K40" s="198"/>
      <c r="L40" s="198"/>
      <c r="M40" s="198"/>
      <c r="N40" s="198"/>
      <c r="O40" s="198"/>
      <c r="P40" s="198"/>
      <c r="Q40" s="20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ht="21.6" thickBot="1" x14ac:dyDescent="0.45">
      <c r="A41" s="1">
        <f>IF(A40&lt;'Project Information'!B$11,A40+1,"")</f>
        <v>2048</v>
      </c>
      <c r="B41" s="22">
        <v>0</v>
      </c>
      <c r="C41" s="22">
        <f t="shared" si="0"/>
        <v>-6962739</v>
      </c>
      <c r="D41" s="8">
        <f t="shared" si="1"/>
        <v>6962739</v>
      </c>
      <c r="G41"/>
      <c r="H41" s="370" t="s">
        <v>426</v>
      </c>
      <c r="I41" s="371"/>
      <c r="J41" s="371"/>
      <c r="K41" s="371"/>
      <c r="L41" s="371"/>
      <c r="M41" s="198"/>
      <c r="N41" s="198"/>
      <c r="O41" s="198"/>
      <c r="P41" s="198"/>
      <c r="Q41" s="200"/>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ht="21.6" thickBot="1" x14ac:dyDescent="0.45">
      <c r="A42" s="1" t="str">
        <f>IF(A41&lt;'Project Information'!B$11,A41+1,"")</f>
        <v/>
      </c>
      <c r="B42" s="22">
        <v>0</v>
      </c>
      <c r="C42" s="22">
        <v>0</v>
      </c>
      <c r="D42" s="8">
        <f t="shared" si="1"/>
        <v>0</v>
      </c>
      <c r="G42" s="182"/>
      <c r="H42" s="210"/>
      <c r="I42" s="342" t="s">
        <v>416</v>
      </c>
      <c r="J42" s="342"/>
      <c r="K42" s="342" t="s">
        <v>417</v>
      </c>
      <c r="L42" s="342"/>
      <c r="M42" s="211"/>
      <c r="N42" s="343" t="s">
        <v>418</v>
      </c>
      <c r="O42" s="344"/>
      <c r="P42" s="345"/>
      <c r="Q42" s="227"/>
      <c r="R42" s="182"/>
      <c r="S42" s="182"/>
      <c r="T42" s="182"/>
      <c r="U42" s="182"/>
      <c r="V42" s="182"/>
      <c r="W42"/>
      <c r="X42"/>
      <c r="Y42"/>
      <c r="Z42"/>
      <c r="AA42"/>
      <c r="AB42"/>
      <c r="AC42"/>
      <c r="AD42"/>
      <c r="AE42"/>
      <c r="AF42"/>
      <c r="AG42"/>
      <c r="AH42"/>
      <c r="AI42"/>
      <c r="AJ42"/>
      <c r="AK42"/>
      <c r="AL42"/>
      <c r="AM42"/>
      <c r="AN42"/>
      <c r="AO42"/>
      <c r="AP42"/>
      <c r="AQ42"/>
      <c r="AR42"/>
      <c r="AS42"/>
      <c r="AT42"/>
      <c r="AU42"/>
      <c r="AV42"/>
      <c r="AW42"/>
      <c r="AX42"/>
      <c r="AY42"/>
      <c r="AZ42"/>
      <c r="BA42"/>
      <c r="BB42" s="14"/>
    </row>
    <row r="43" spans="1:54" ht="18.600000000000001" thickBot="1" x14ac:dyDescent="0.4">
      <c r="A43" s="1" t="str">
        <f>IF(A42&lt;'Project Information'!B$11,A42+1,"")</f>
        <v/>
      </c>
      <c r="B43" s="22">
        <v>0</v>
      </c>
      <c r="C43" s="22">
        <v>0</v>
      </c>
      <c r="D43" s="8">
        <f t="shared" si="1"/>
        <v>0</v>
      </c>
      <c r="G43" s="182"/>
      <c r="H43" s="238" t="s">
        <v>408</v>
      </c>
      <c r="I43" s="364">
        <f>K34*O34+K35*O35+K36*O36+K37*O37+K38*O38</f>
        <v>6605260</v>
      </c>
      <c r="J43" s="364"/>
      <c r="K43" s="365">
        <f>(1-O45)*I43</f>
        <v>4161313.8</v>
      </c>
      <c r="L43" s="365"/>
      <c r="M43" s="211"/>
      <c r="N43" s="239" t="s">
        <v>419</v>
      </c>
      <c r="O43" s="366">
        <v>3092</v>
      </c>
      <c r="P43" s="367"/>
      <c r="Q43" s="227"/>
      <c r="R43" s="182"/>
      <c r="S43" s="182"/>
      <c r="T43" s="182"/>
      <c r="U43" s="182"/>
      <c r="V43" s="182"/>
      <c r="W43"/>
      <c r="X43"/>
      <c r="Y43"/>
      <c r="Z43"/>
      <c r="AA43"/>
      <c r="AB43"/>
      <c r="AC43"/>
      <c r="AD43"/>
      <c r="AE43"/>
      <c r="AF43"/>
      <c r="AG43"/>
      <c r="AH43"/>
      <c r="AI43"/>
      <c r="AJ43"/>
      <c r="AK43"/>
      <c r="AL43"/>
      <c r="AM43"/>
      <c r="AN43"/>
      <c r="AO43"/>
      <c r="AP43"/>
      <c r="AQ43"/>
      <c r="AR43"/>
      <c r="AS43"/>
      <c r="AT43"/>
      <c r="AU43"/>
      <c r="AV43"/>
      <c r="AW43"/>
      <c r="AX43"/>
      <c r="AY43"/>
      <c r="AZ43"/>
      <c r="BA43"/>
      <c r="BB43" s="14"/>
    </row>
    <row r="44" spans="1:54" ht="18.600000000000001" thickBot="1" x14ac:dyDescent="0.4">
      <c r="A44" s="1" t="str">
        <f>IF(A43&lt;'Project Information'!B$11,A43+1,"")</f>
        <v/>
      </c>
      <c r="B44" s="22">
        <v>0</v>
      </c>
      <c r="C44" s="22">
        <v>0</v>
      </c>
      <c r="D44" s="8">
        <f t="shared" si="1"/>
        <v>0</v>
      </c>
      <c r="G44" s="182"/>
      <c r="H44" s="238" t="s">
        <v>404</v>
      </c>
      <c r="I44" s="368">
        <f>L34*O34+L35*O35+L36*O36+L37*O37+L38*O38</f>
        <v>4446706.666666667</v>
      </c>
      <c r="J44" s="368"/>
      <c r="K44" s="369">
        <f>(1-O45)*I44</f>
        <v>2801425.2</v>
      </c>
      <c r="L44" s="369"/>
      <c r="M44" s="211"/>
      <c r="N44" s="240" t="s">
        <v>420</v>
      </c>
      <c r="O44" s="361" t="s">
        <v>425</v>
      </c>
      <c r="P44" s="362"/>
      <c r="Q44" s="363"/>
      <c r="R44" s="182"/>
      <c r="S44" s="182"/>
      <c r="T44" s="182"/>
      <c r="U44" s="182"/>
      <c r="V44" s="182"/>
      <c r="W44"/>
      <c r="X44"/>
      <c r="Y44"/>
      <c r="Z44"/>
      <c r="AA44"/>
      <c r="AB44"/>
      <c r="AC44"/>
      <c r="AD44"/>
      <c r="AE44"/>
      <c r="AF44"/>
      <c r="AG44"/>
      <c r="AH44"/>
      <c r="AI44"/>
      <c r="AJ44"/>
      <c r="AK44"/>
      <c r="AL44"/>
      <c r="AM44"/>
      <c r="AN44"/>
      <c r="AO44"/>
      <c r="AP44"/>
      <c r="AQ44"/>
      <c r="AR44"/>
      <c r="AS44"/>
      <c r="AT44"/>
      <c r="AU44"/>
      <c r="AV44"/>
      <c r="AW44"/>
      <c r="AX44"/>
      <c r="AY44"/>
      <c r="AZ44"/>
      <c r="BA44"/>
      <c r="BB44" s="14"/>
    </row>
    <row r="45" spans="1:54" ht="18.600000000000001" thickBot="1" x14ac:dyDescent="0.4">
      <c r="A45" s="1" t="str">
        <f>IF(A44&lt;'Project Information'!B$11,A44+1,"")</f>
        <v/>
      </c>
      <c r="B45" s="22">
        <v>0</v>
      </c>
      <c r="C45" s="22">
        <v>0</v>
      </c>
      <c r="D45" s="8">
        <f t="shared" si="1"/>
        <v>0</v>
      </c>
      <c r="G45"/>
      <c r="H45" s="223"/>
      <c r="I45" s="354" t="s">
        <v>21</v>
      </c>
      <c r="J45" s="354"/>
      <c r="K45" s="355">
        <f>SUM(K43:K44)</f>
        <v>6962739</v>
      </c>
      <c r="L45" s="355"/>
      <c r="M45" s="211"/>
      <c r="N45" s="241" t="s">
        <v>418</v>
      </c>
      <c r="O45" s="356">
        <v>0.37</v>
      </c>
      <c r="P45" s="357"/>
      <c r="Q45" s="227"/>
      <c r="R45" s="182"/>
      <c r="S45" s="182"/>
      <c r="T45" s="182"/>
      <c r="U45" s="182"/>
      <c r="V45" s="182"/>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
      <c r="A46" s="1" t="str">
        <f>IF(A45&lt;'Project Information'!B$11,A45+1,"")</f>
        <v/>
      </c>
      <c r="B46" s="22">
        <v>0</v>
      </c>
      <c r="C46" s="22">
        <v>0</v>
      </c>
      <c r="D46" s="8">
        <f t="shared" si="1"/>
        <v>0</v>
      </c>
      <c r="F46" s="194"/>
      <c r="G46" s="204"/>
      <c r="H46" s="205"/>
      <c r="I46" s="206"/>
      <c r="J46" s="206"/>
      <c r="K46" s="206"/>
      <c r="L46" s="206"/>
      <c r="M46" s="206"/>
      <c r="N46" s="206"/>
      <c r="O46" s="206"/>
      <c r="P46" s="206"/>
      <c r="Q46" s="207"/>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
      <c r="A47" s="1" t="str">
        <f>IF(A46&lt;'Project Information'!B$11,A46+1,"")</f>
        <v/>
      </c>
      <c r="B47" s="22">
        <v>0</v>
      </c>
      <c r="C47" s="22">
        <v>0</v>
      </c>
      <c r="D47" s="8">
        <f t="shared" si="1"/>
        <v>0</v>
      </c>
      <c r="F47" s="194"/>
      <c r="G47" s="204"/>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
      <c r="A48" s="1" t="str">
        <f>IF(A47&lt;'Project Information'!B$11,A47+1,"")</f>
        <v/>
      </c>
      <c r="B48" s="22">
        <v>0</v>
      </c>
      <c r="C48" s="22">
        <v>0</v>
      </c>
      <c r="D48" s="8">
        <f t="shared" si="1"/>
        <v>0</v>
      </c>
    </row>
    <row r="49" spans="1:4" x14ac:dyDescent="0.3">
      <c r="A49" s="1" t="str">
        <f>IF(A48&lt;'Project Information'!B$11,A48+1,"")</f>
        <v/>
      </c>
      <c r="B49" s="22">
        <v>0</v>
      </c>
      <c r="C49" s="22">
        <v>0</v>
      </c>
      <c r="D49" s="8">
        <f t="shared" si="1"/>
        <v>0</v>
      </c>
    </row>
    <row r="50" spans="1:4" x14ac:dyDescent="0.3">
      <c r="A50" s="1" t="str">
        <f>IF(A49&lt;'Project Information'!B$11,A49+1,"")</f>
        <v/>
      </c>
      <c r="B50" s="22">
        <v>0</v>
      </c>
      <c r="C50" s="22">
        <v>0</v>
      </c>
      <c r="D50" s="8">
        <f t="shared" si="1"/>
        <v>0</v>
      </c>
    </row>
    <row r="51" spans="1:4" x14ac:dyDescent="0.3">
      <c r="A51" s="1" t="str">
        <f>IF(A50&lt;'Project Information'!B$11,A50+1,"")</f>
        <v/>
      </c>
      <c r="B51" s="22">
        <v>0</v>
      </c>
      <c r="C51" s="22">
        <v>0</v>
      </c>
      <c r="D51" s="9">
        <f t="shared" si="1"/>
        <v>0</v>
      </c>
    </row>
    <row r="52" spans="1:4" x14ac:dyDescent="0.3">
      <c r="A52" s="31"/>
      <c r="B52" s="32"/>
      <c r="C52" s="32"/>
      <c r="D52" s="29"/>
    </row>
    <row r="53" spans="1:4" x14ac:dyDescent="0.3">
      <c r="B53" s="28"/>
      <c r="C53" s="28"/>
      <c r="D53" s="29"/>
    </row>
    <row r="54" spans="1:4" x14ac:dyDescent="0.3">
      <c r="B54" s="28"/>
      <c r="C54" s="28"/>
      <c r="D54" s="29"/>
    </row>
    <row r="55" spans="1:4" x14ac:dyDescent="0.3">
      <c r="B55" s="28"/>
      <c r="C55" s="28"/>
      <c r="D55" s="29"/>
    </row>
    <row r="56" spans="1:4" x14ac:dyDescent="0.3">
      <c r="B56" s="28"/>
      <c r="C56" s="28"/>
      <c r="D56" s="29"/>
    </row>
    <row r="57" spans="1:4" x14ac:dyDescent="0.3">
      <c r="B57" s="28"/>
      <c r="C57" s="28"/>
      <c r="D57" s="29"/>
    </row>
    <row r="58" spans="1:4" x14ac:dyDescent="0.3">
      <c r="B58" s="28"/>
      <c r="C58" s="28"/>
      <c r="D58" s="29"/>
    </row>
    <row r="59" spans="1:4" x14ac:dyDescent="0.3">
      <c r="B59" s="28"/>
      <c r="C59" s="28"/>
      <c r="D59" s="29"/>
    </row>
    <row r="60" spans="1:4" x14ac:dyDescent="0.3">
      <c r="B60" s="28"/>
      <c r="C60" s="28"/>
      <c r="D60" s="29"/>
    </row>
    <row r="61" spans="1:4" x14ac:dyDescent="0.3">
      <c r="B61" s="28"/>
      <c r="C61" s="28"/>
      <c r="D61" s="29"/>
    </row>
  </sheetData>
  <mergeCells count="32">
    <mergeCell ref="I45:J45"/>
    <mergeCell ref="K45:L45"/>
    <mergeCell ref="O45:P45"/>
    <mergeCell ref="H29:Q29"/>
    <mergeCell ref="O44:Q44"/>
    <mergeCell ref="I43:J43"/>
    <mergeCell ref="K43:L43"/>
    <mergeCell ref="O43:P43"/>
    <mergeCell ref="I44:J44"/>
    <mergeCell ref="K44:L44"/>
    <mergeCell ref="I37:J37"/>
    <mergeCell ref="O37:P37"/>
    <mergeCell ref="I38:J38"/>
    <mergeCell ref="O38:P38"/>
    <mergeCell ref="H41:L41"/>
    <mergeCell ref="I42:J42"/>
    <mergeCell ref="O32:P33"/>
    <mergeCell ref="K42:L42"/>
    <mergeCell ref="N42:P42"/>
    <mergeCell ref="I34:J34"/>
    <mergeCell ref="O34:P34"/>
    <mergeCell ref="I35:J35"/>
    <mergeCell ref="O35:P35"/>
    <mergeCell ref="I36:J36"/>
    <mergeCell ref="O36:P36"/>
    <mergeCell ref="H21:K21"/>
    <mergeCell ref="H23:N23"/>
    <mergeCell ref="I24:M24"/>
    <mergeCell ref="H31:K31"/>
    <mergeCell ref="H32:J33"/>
    <mergeCell ref="K32:L32"/>
    <mergeCell ref="N32:N33"/>
  </mergeCells>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B109"/>
  <sheetViews>
    <sheetView topLeftCell="A14" zoomScale="90" zoomScaleNormal="90" workbookViewId="0">
      <selection activeCell="H22" sqref="H22"/>
    </sheetView>
  </sheetViews>
  <sheetFormatPr defaultColWidth="9.109375" defaultRowHeight="14.4" x14ac:dyDescent="0.3"/>
  <cols>
    <col min="1" max="1" width="28.5546875" style="5" customWidth="1"/>
    <col min="2" max="2" width="27.44140625" style="5" customWidth="1"/>
    <col min="3" max="3" width="28.88671875" style="5" customWidth="1"/>
    <col min="4" max="4" width="30.88671875" style="5" customWidth="1"/>
    <col min="5" max="7" width="9.109375" style="5"/>
    <col min="8" max="8" width="14.33203125" style="5" bestFit="1" customWidth="1"/>
    <col min="9" max="9" width="6.6640625" style="5" bestFit="1" customWidth="1"/>
    <col min="10" max="10" width="10.109375" style="5" bestFit="1" customWidth="1"/>
    <col min="11" max="11" width="6" style="5" bestFit="1" customWidth="1"/>
    <col min="12" max="12" width="9.109375" style="5"/>
    <col min="13" max="14" width="17.88671875" style="5" bestFit="1" customWidth="1"/>
    <col min="15" max="15" width="9.109375" style="5"/>
    <col min="16" max="16" width="21.6640625" style="5" bestFit="1" customWidth="1"/>
    <col min="17" max="16384" width="9.109375" style="5"/>
  </cols>
  <sheetData>
    <row r="1" spans="1:10" ht="20.399999999999999" thickBot="1" x14ac:dyDescent="0.45">
      <c r="A1" s="96" t="s">
        <v>9</v>
      </c>
    </row>
    <row r="2" spans="1:10" ht="15" thickTop="1" x14ac:dyDescent="0.3">
      <c r="A2" s="152" t="s">
        <v>245</v>
      </c>
      <c r="B2" s="152"/>
      <c r="C2" s="152"/>
      <c r="D2" s="152"/>
      <c r="E2" s="152"/>
      <c r="F2" s="152"/>
      <c r="G2" s="152"/>
    </row>
    <row r="3" spans="1:10" x14ac:dyDescent="0.3">
      <c r="A3" s="5" t="s">
        <v>205</v>
      </c>
    </row>
    <row r="4" spans="1:10" x14ac:dyDescent="0.3">
      <c r="A4" s="153" t="s">
        <v>265</v>
      </c>
      <c r="B4" s="152"/>
      <c r="C4" s="152"/>
      <c r="D4" s="152"/>
      <c r="E4" s="152"/>
      <c r="F4" s="152"/>
      <c r="G4" s="152"/>
      <c r="H4" s="152"/>
      <c r="I4" s="152"/>
      <c r="J4" s="152"/>
    </row>
    <row r="5" spans="1:10" x14ac:dyDescent="0.3">
      <c r="A5" s="38" t="s">
        <v>205</v>
      </c>
    </row>
    <row r="6" spans="1:10" x14ac:dyDescent="0.3">
      <c r="A6" s="97" t="s">
        <v>246</v>
      </c>
    </row>
    <row r="7" spans="1:10" x14ac:dyDescent="0.3">
      <c r="A7" s="116" t="s">
        <v>33</v>
      </c>
      <c r="B7" s="116" t="s">
        <v>325</v>
      </c>
    </row>
    <row r="8" spans="1:10" x14ac:dyDescent="0.3">
      <c r="A8" s="35" t="s">
        <v>186</v>
      </c>
      <c r="B8" s="39">
        <f>'Parameter Values'!B24</f>
        <v>17.899999999999999</v>
      </c>
    </row>
    <row r="9" spans="1:10" x14ac:dyDescent="0.3">
      <c r="A9" s="35" t="s">
        <v>182</v>
      </c>
      <c r="B9" s="39">
        <f>'Parameter Values'!B25</f>
        <v>32.299999999999997</v>
      </c>
    </row>
    <row r="10" spans="1:10" x14ac:dyDescent="0.3">
      <c r="A10" s="35" t="s">
        <v>183</v>
      </c>
      <c r="B10" s="39">
        <f>'Parameter Values'!B26</f>
        <v>19.600000000000001</v>
      </c>
    </row>
    <row r="11" spans="1:10" ht="28.8" x14ac:dyDescent="0.3">
      <c r="A11" s="35" t="s">
        <v>184</v>
      </c>
      <c r="B11" s="39">
        <f>'Parameter Values'!B28</f>
        <v>35.799999999999997</v>
      </c>
    </row>
    <row r="12" spans="1:10" x14ac:dyDescent="0.3">
      <c r="A12" s="35" t="s">
        <v>185</v>
      </c>
      <c r="B12" s="39"/>
    </row>
    <row r="13" spans="1:10" x14ac:dyDescent="0.3">
      <c r="A13" s="35" t="s">
        <v>36</v>
      </c>
      <c r="B13" s="39">
        <f>'Parameter Values'!B31</f>
        <v>33.5</v>
      </c>
    </row>
    <row r="14" spans="1:10" x14ac:dyDescent="0.3">
      <c r="A14" s="35" t="s">
        <v>37</v>
      </c>
      <c r="B14" s="39">
        <f>'Parameter Values'!B32</f>
        <v>36.5</v>
      </c>
    </row>
    <row r="15" spans="1:10" x14ac:dyDescent="0.3">
      <c r="A15" s="35" t="s">
        <v>38</v>
      </c>
      <c r="B15" s="39">
        <f>'Parameter Values'!B33</f>
        <v>63.3</v>
      </c>
    </row>
    <row r="16" spans="1:10" x14ac:dyDescent="0.3">
      <c r="A16" s="35" t="s">
        <v>39</v>
      </c>
      <c r="B16" s="39">
        <f>'Parameter Values'!B34</f>
        <v>53.5</v>
      </c>
    </row>
    <row r="17" spans="1:54" x14ac:dyDescent="0.3">
      <c r="A17" s="38" t="s">
        <v>205</v>
      </c>
    </row>
    <row r="18" spans="1:54" ht="15" thickBot="1" x14ac:dyDescent="0.35">
      <c r="A18" s="97" t="s">
        <v>248</v>
      </c>
    </row>
    <row r="19" spans="1:54" x14ac:dyDescent="0.3">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3">
      <c r="A20" s="6">
        <f>'Project Information'!$B$9</f>
        <v>2029</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
      <c r="A21" s="1">
        <f>IF(A20&lt;'Project Information'!B$11,A20+1,"")</f>
        <v>2030</v>
      </c>
      <c r="B21" s="22">
        <v>0</v>
      </c>
      <c r="C21" s="22">
        <v>0</v>
      </c>
      <c r="D21" s="8">
        <f t="shared" ref="D21:D49" si="0">B21-C21</f>
        <v>0</v>
      </c>
      <c r="G21" s="13"/>
      <c r="H21"/>
      <c r="I21"/>
      <c r="J21"/>
      <c r="K21"/>
      <c r="L21"/>
      <c r="M21"/>
      <c r="N21"/>
      <c r="O21"/>
      <c r="P21"/>
      <c r="Q21"/>
      <c r="R21"/>
      <c r="S21"/>
      <c r="T21"/>
      <c r="U21"/>
      <c r="V21" s="14"/>
    </row>
    <row r="22" spans="1:54" x14ac:dyDescent="0.3">
      <c r="A22" s="1">
        <f>IF(A21&lt;'Project Information'!B$11,A21+1,"")</f>
        <v>2031</v>
      </c>
      <c r="B22" s="22">
        <v>0</v>
      </c>
      <c r="C22" s="22">
        <v>0</v>
      </c>
      <c r="D22" s="8">
        <f t="shared" si="0"/>
        <v>0</v>
      </c>
      <c r="G22" s="13"/>
      <c r="H22" s="187" t="s">
        <v>440</v>
      </c>
      <c r="I22" s="187"/>
      <c r="J22" s="187"/>
      <c r="K22" s="187"/>
      <c r="L22" s="187"/>
      <c r="M22" s="187"/>
      <c r="N22"/>
      <c r="O22"/>
      <c r="P22"/>
      <c r="Q22"/>
      <c r="R22"/>
      <c r="S22"/>
      <c r="T22"/>
      <c r="U22"/>
      <c r="V22" s="14"/>
    </row>
    <row r="23" spans="1:54" x14ac:dyDescent="0.3">
      <c r="A23" s="1">
        <f>IF(A22&lt;'Project Information'!B$11,A22+1,"")</f>
        <v>2032</v>
      </c>
      <c r="B23" s="22">
        <v>0</v>
      </c>
      <c r="C23" s="22">
        <v>0</v>
      </c>
      <c r="D23" s="8">
        <f t="shared" si="0"/>
        <v>0</v>
      </c>
      <c r="G23" s="13"/>
      <c r="H23"/>
      <c r="I23"/>
      <c r="J23"/>
      <c r="K23"/>
      <c r="L23"/>
      <c r="M23"/>
      <c r="N23"/>
      <c r="O23"/>
      <c r="P23"/>
      <c r="Q23"/>
      <c r="R23"/>
      <c r="S23"/>
      <c r="T23"/>
      <c r="U23"/>
      <c r="V23" s="14"/>
    </row>
    <row r="24" spans="1:54" x14ac:dyDescent="0.3">
      <c r="A24" s="1">
        <f>IF(A23&lt;'Project Information'!B$11,A23+1,"")</f>
        <v>2033</v>
      </c>
      <c r="B24" s="22">
        <v>0</v>
      </c>
      <c r="C24" s="22">
        <v>0</v>
      </c>
      <c r="D24" s="8">
        <f t="shared" si="0"/>
        <v>0</v>
      </c>
      <c r="G24" s="13"/>
      <c r="H24"/>
      <c r="I24"/>
      <c r="J24"/>
      <c r="K24"/>
      <c r="L24"/>
      <c r="M24"/>
      <c r="N24"/>
      <c r="O24"/>
      <c r="P24"/>
      <c r="Q24"/>
      <c r="R24"/>
      <c r="S24"/>
      <c r="T24"/>
      <c r="U24"/>
      <c r="V24" s="14"/>
    </row>
    <row r="25" spans="1:54" x14ac:dyDescent="0.3">
      <c r="A25" s="1">
        <f>IF(A24&lt;'Project Information'!B$11,A24+1,"")</f>
        <v>2034</v>
      </c>
      <c r="B25" s="22">
        <v>0</v>
      </c>
      <c r="C25" s="22">
        <v>0</v>
      </c>
      <c r="D25" s="8">
        <f t="shared" si="0"/>
        <v>0</v>
      </c>
      <c r="G25" s="13"/>
      <c r="H25"/>
      <c r="I25"/>
      <c r="J25"/>
      <c r="K25"/>
      <c r="L25"/>
      <c r="M25"/>
      <c r="N25"/>
      <c r="O25"/>
      <c r="P25"/>
      <c r="Q25"/>
      <c r="R25"/>
      <c r="S25"/>
      <c r="T25"/>
      <c r="U25"/>
      <c r="V25" s="14"/>
    </row>
    <row r="26" spans="1:54" x14ac:dyDescent="0.3">
      <c r="A26" s="1">
        <f>IF(A25&lt;'Project Information'!B$11,A25+1,"")</f>
        <v>2035</v>
      </c>
      <c r="B26" s="22">
        <v>0</v>
      </c>
      <c r="C26" s="22">
        <v>0</v>
      </c>
      <c r="D26" s="8">
        <f t="shared" si="0"/>
        <v>0</v>
      </c>
      <c r="G26" s="13"/>
      <c r="H26"/>
      <c r="I26"/>
      <c r="J26"/>
      <c r="K26"/>
      <c r="L26"/>
      <c r="M26"/>
      <c r="N26"/>
      <c r="O26"/>
      <c r="P26"/>
      <c r="Q26"/>
      <c r="R26"/>
      <c r="S26"/>
      <c r="T26"/>
      <c r="U26"/>
      <c r="V26" s="14"/>
    </row>
    <row r="27" spans="1:54" x14ac:dyDescent="0.3">
      <c r="A27" s="1">
        <f>IF(A26&lt;'Project Information'!B$11,A26+1,"")</f>
        <v>2036</v>
      </c>
      <c r="B27" s="22">
        <v>0</v>
      </c>
      <c r="C27" s="22">
        <v>0</v>
      </c>
      <c r="D27" s="8">
        <f t="shared" si="0"/>
        <v>0</v>
      </c>
      <c r="G27" s="13"/>
      <c r="H27"/>
      <c r="I27"/>
      <c r="J27"/>
      <c r="K27"/>
      <c r="L27"/>
      <c r="M27"/>
      <c r="N27"/>
      <c r="O27"/>
      <c r="P27"/>
      <c r="Q27"/>
      <c r="R27"/>
      <c r="S27"/>
      <c r="T27"/>
      <c r="U27"/>
      <c r="V27" s="14"/>
    </row>
    <row r="28" spans="1:54" x14ac:dyDescent="0.3">
      <c r="A28" s="1">
        <f>IF(A27&lt;'Project Information'!B$11,A27+1,"")</f>
        <v>2037</v>
      </c>
      <c r="B28" s="22">
        <v>0</v>
      </c>
      <c r="C28" s="22">
        <v>0</v>
      </c>
      <c r="D28" s="8">
        <f t="shared" si="0"/>
        <v>0</v>
      </c>
      <c r="G28" s="13"/>
      <c r="H28"/>
      <c r="I28"/>
      <c r="J28"/>
      <c r="K28"/>
      <c r="L28"/>
      <c r="M28"/>
      <c r="N28"/>
      <c r="O28"/>
      <c r="P28"/>
      <c r="Q28"/>
      <c r="R28"/>
      <c r="S28"/>
      <c r="T28"/>
      <c r="U28"/>
      <c r="V28" s="14"/>
    </row>
    <row r="29" spans="1:54" x14ac:dyDescent="0.3">
      <c r="A29" s="1">
        <f>IF(A28&lt;'Project Information'!B$11,A28+1,"")</f>
        <v>2038</v>
      </c>
      <c r="B29" s="22">
        <v>0</v>
      </c>
      <c r="C29" s="22">
        <v>0</v>
      </c>
      <c r="D29" s="8">
        <f t="shared" si="0"/>
        <v>0</v>
      </c>
      <c r="G29" s="13"/>
      <c r="H29"/>
      <c r="I29"/>
      <c r="J29"/>
      <c r="K29"/>
      <c r="L29"/>
      <c r="M29"/>
      <c r="N29"/>
      <c r="O29"/>
      <c r="P29"/>
      <c r="Q29"/>
      <c r="R29"/>
      <c r="S29"/>
      <c r="T29"/>
      <c r="U29"/>
      <c r="V29" s="14"/>
    </row>
    <row r="30" spans="1:54" x14ac:dyDescent="0.3">
      <c r="A30" s="1">
        <f>IF(A29&lt;'Project Information'!B$11,A29+1,"")</f>
        <v>2039</v>
      </c>
      <c r="B30" s="22">
        <v>0</v>
      </c>
      <c r="C30" s="22">
        <v>0</v>
      </c>
      <c r="D30" s="8">
        <f t="shared" si="0"/>
        <v>0</v>
      </c>
      <c r="G30" s="13"/>
      <c r="H30"/>
      <c r="I30"/>
      <c r="J30"/>
      <c r="K30"/>
      <c r="L30"/>
      <c r="M30"/>
      <c r="N30"/>
      <c r="O30"/>
      <c r="P30"/>
      <c r="Q30"/>
      <c r="R30"/>
      <c r="S30"/>
      <c r="T30"/>
      <c r="U30"/>
      <c r="V30" s="14"/>
    </row>
    <row r="31" spans="1:54" x14ac:dyDescent="0.3">
      <c r="A31" s="1">
        <f>IF(A30&lt;'Project Information'!B$11,A30+1,"")</f>
        <v>2040</v>
      </c>
      <c r="B31" s="22">
        <v>0</v>
      </c>
      <c r="C31" s="22">
        <v>0</v>
      </c>
      <c r="D31" s="8">
        <f t="shared" si="0"/>
        <v>0</v>
      </c>
      <c r="G31" s="13"/>
      <c r="H31"/>
      <c r="I31"/>
      <c r="J31"/>
      <c r="K31"/>
      <c r="L31"/>
      <c r="M31"/>
      <c r="N31"/>
      <c r="O31"/>
      <c r="P31"/>
      <c r="Q31"/>
      <c r="R31"/>
      <c r="S31"/>
      <c r="T31"/>
      <c r="U31"/>
      <c r="V31" s="14"/>
    </row>
    <row r="32" spans="1:54" x14ac:dyDescent="0.3">
      <c r="A32" s="1">
        <f>IF(A31&lt;'Project Information'!B$11,A31+1,"")</f>
        <v>2041</v>
      </c>
      <c r="B32" s="22">
        <v>0</v>
      </c>
      <c r="C32" s="22">
        <v>0</v>
      </c>
      <c r="D32" s="8">
        <f t="shared" si="0"/>
        <v>0</v>
      </c>
      <c r="G32" s="13"/>
      <c r="H32"/>
      <c r="I32"/>
      <c r="J32"/>
      <c r="K32"/>
      <c r="L32"/>
      <c r="M32"/>
      <c r="N32"/>
      <c r="O32"/>
      <c r="P32"/>
      <c r="Q32"/>
      <c r="R32"/>
      <c r="S32"/>
      <c r="T32"/>
      <c r="U32"/>
      <c r="V32" s="14"/>
    </row>
    <row r="33" spans="1:54" x14ac:dyDescent="0.3">
      <c r="A33" s="1">
        <f>IF(A32&lt;'Project Information'!B$11,A32+1,"")</f>
        <v>2042</v>
      </c>
      <c r="B33" s="22">
        <v>0</v>
      </c>
      <c r="C33" s="22">
        <v>0</v>
      </c>
      <c r="D33" s="8">
        <f t="shared" si="0"/>
        <v>0</v>
      </c>
      <c r="G33" s="13"/>
      <c r="H33"/>
      <c r="I33"/>
      <c r="J33"/>
      <c r="K33"/>
      <c r="L33"/>
      <c r="M33"/>
      <c r="N33"/>
      <c r="O33"/>
      <c r="P33"/>
      <c r="Q33"/>
      <c r="R33"/>
      <c r="S33"/>
      <c r="T33"/>
      <c r="U33"/>
      <c r="V33" s="14"/>
    </row>
    <row r="34" spans="1:54" x14ac:dyDescent="0.3">
      <c r="A34" s="1">
        <f>IF(A33&lt;'Project Information'!B$11,A33+1,"")</f>
        <v>2043</v>
      </c>
      <c r="B34" s="22">
        <v>0</v>
      </c>
      <c r="C34" s="22">
        <v>0</v>
      </c>
      <c r="D34" s="8">
        <f t="shared" si="0"/>
        <v>0</v>
      </c>
      <c r="G34" s="13"/>
      <c r="H34"/>
      <c r="I34"/>
      <c r="J34"/>
      <c r="K34"/>
      <c r="L34"/>
      <c r="M34"/>
      <c r="N34"/>
      <c r="O34"/>
      <c r="P34"/>
      <c r="Q34"/>
      <c r="R34"/>
      <c r="S34"/>
      <c r="T34"/>
      <c r="U34"/>
      <c r="V34" s="14"/>
    </row>
    <row r="35" spans="1:54" x14ac:dyDescent="0.3">
      <c r="A35" s="1">
        <f>IF(A34&lt;'Project Information'!B$11,A34+1,"")</f>
        <v>2044</v>
      </c>
      <c r="B35" s="22">
        <v>0</v>
      </c>
      <c r="C35" s="22">
        <v>0</v>
      </c>
      <c r="D35" s="8">
        <f t="shared" si="0"/>
        <v>0</v>
      </c>
      <c r="G35" s="13"/>
      <c r="H35"/>
      <c r="I35"/>
      <c r="J35"/>
      <c r="K35"/>
      <c r="L35"/>
      <c r="M35"/>
      <c r="N35"/>
      <c r="O35"/>
      <c r="P35"/>
      <c r="Q35"/>
      <c r="R35"/>
      <c r="S35"/>
      <c r="T35"/>
      <c r="U35"/>
      <c r="V35" s="14"/>
    </row>
    <row r="36" spans="1:54" x14ac:dyDescent="0.3">
      <c r="A36" s="1">
        <f>IF(A35&lt;'Project Information'!B$11,A35+1,"")</f>
        <v>2045</v>
      </c>
      <c r="B36" s="22">
        <v>0</v>
      </c>
      <c r="C36" s="22">
        <v>0</v>
      </c>
      <c r="D36" s="8">
        <f t="shared" si="0"/>
        <v>0</v>
      </c>
      <c r="G36" s="13"/>
      <c r="H36"/>
      <c r="I36"/>
      <c r="J36"/>
      <c r="K36"/>
      <c r="L36"/>
      <c r="M36"/>
      <c r="N36"/>
      <c r="O36"/>
      <c r="P36"/>
      <c r="Q36"/>
      <c r="R36"/>
      <c r="S36"/>
      <c r="T36"/>
      <c r="U36"/>
      <c r="V36" s="14"/>
    </row>
    <row r="37" spans="1:54" x14ac:dyDescent="0.3">
      <c r="A37" s="1">
        <f>IF(A36&lt;'Project Information'!B$11,A36+1,"")</f>
        <v>2046</v>
      </c>
      <c r="B37" s="22">
        <v>0</v>
      </c>
      <c r="C37" s="22">
        <v>0</v>
      </c>
      <c r="D37" s="8">
        <f t="shared" si="0"/>
        <v>0</v>
      </c>
      <c r="G37" s="13"/>
      <c r="H37"/>
      <c r="I37"/>
      <c r="J37"/>
      <c r="K37"/>
      <c r="L37"/>
      <c r="M37"/>
      <c r="N37"/>
      <c r="O37"/>
      <c r="P37"/>
      <c r="Q37"/>
      <c r="R37"/>
      <c r="S37"/>
      <c r="T37"/>
      <c r="U37"/>
      <c r="V37" s="14"/>
    </row>
    <row r="38" spans="1:54" x14ac:dyDescent="0.3">
      <c r="A38" s="1">
        <f>IF(A37&lt;'Project Information'!B$11,A37+1,"")</f>
        <v>2047</v>
      </c>
      <c r="B38" s="22">
        <v>0</v>
      </c>
      <c r="C38" s="22">
        <v>0</v>
      </c>
      <c r="D38" s="8">
        <f t="shared" si="0"/>
        <v>0</v>
      </c>
      <c r="G38" s="13"/>
      <c r="H38"/>
      <c r="I38"/>
      <c r="J38"/>
      <c r="K38"/>
      <c r="L38"/>
      <c r="M38"/>
      <c r="N38"/>
      <c r="O38"/>
      <c r="P38"/>
      <c r="Q38"/>
      <c r="R38"/>
      <c r="S38"/>
      <c r="T38"/>
      <c r="U38"/>
      <c r="V38" s="14"/>
    </row>
    <row r="39" spans="1:54" x14ac:dyDescent="0.3">
      <c r="A39" s="1">
        <f>IF(A38&lt;'Project Information'!B$11,A38+1,"")</f>
        <v>2048</v>
      </c>
      <c r="B39" s="22">
        <v>0</v>
      </c>
      <c r="C39" s="22">
        <v>0</v>
      </c>
      <c r="D39" s="8">
        <f t="shared" si="0"/>
        <v>0</v>
      </c>
      <c r="G39" s="13"/>
      <c r="H39"/>
      <c r="I39"/>
      <c r="J39"/>
      <c r="K39"/>
      <c r="L39"/>
      <c r="M39"/>
      <c r="N39"/>
      <c r="O39"/>
      <c r="P39"/>
      <c r="Q39"/>
      <c r="R39"/>
      <c r="S39"/>
      <c r="T39"/>
      <c r="U39"/>
      <c r="V39" s="14"/>
    </row>
    <row r="40" spans="1:54" x14ac:dyDescent="0.3">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
      <c r="A43" s="1" t="str">
        <f>IF(A42&lt;'Project Information'!B$11,A42+1,"")</f>
        <v/>
      </c>
      <c r="B43" s="22">
        <v>0</v>
      </c>
      <c r="C43" s="22">
        <v>0</v>
      </c>
      <c r="D43" s="8">
        <f t="shared" si="0"/>
        <v>0</v>
      </c>
      <c r="G43"/>
      <c r="H43"/>
      <c r="I43"/>
      <c r="J43"/>
      <c r="K43"/>
      <c r="L43"/>
      <c r="M43"/>
      <c r="N43"/>
      <c r="O43"/>
      <c r="P43"/>
      <c r="Q43"/>
      <c r="R43"/>
      <c r="S43"/>
      <c r="T43"/>
      <c r="U43"/>
      <c r="V43"/>
      <c r="W43"/>
      <c r="X43"/>
      <c r="Y43"/>
      <c r="Z43"/>
      <c r="AA43"/>
      <c r="AB43"/>
      <c r="AC43"/>
      <c r="AD43"/>
      <c r="AE43"/>
      <c r="AF43"/>
      <c r="AG43"/>
      <c r="AH43"/>
      <c r="AI43"/>
      <c r="AJ43"/>
      <c r="AK43"/>
      <c r="AL43"/>
      <c r="AM43"/>
      <c r="AN43"/>
      <c r="AO43" s="14"/>
    </row>
    <row r="44" spans="1:54" x14ac:dyDescent="0.3">
      <c r="A44" s="1" t="str">
        <f>IF(A43&lt;'Project Information'!B$11,A43+1,"")</f>
        <v/>
      </c>
      <c r="B44" s="22">
        <v>0</v>
      </c>
      <c r="C44" s="22">
        <v>0</v>
      </c>
      <c r="D44" s="8">
        <f t="shared" si="0"/>
        <v>0</v>
      </c>
      <c r="G44"/>
      <c r="H44"/>
      <c r="I44"/>
      <c r="J44"/>
      <c r="K44"/>
      <c r="L44"/>
      <c r="M44"/>
      <c r="N44"/>
      <c r="O44"/>
      <c r="P44"/>
      <c r="Q44"/>
      <c r="R44"/>
      <c r="S44"/>
      <c r="T44"/>
      <c r="U44"/>
      <c r="V44"/>
      <c r="W44"/>
      <c r="X44"/>
      <c r="Y44"/>
      <c r="Z44"/>
      <c r="AA44"/>
      <c r="AB44"/>
      <c r="AC44"/>
      <c r="AD44"/>
      <c r="AE44"/>
      <c r="AF44"/>
      <c r="AG44"/>
      <c r="AH44"/>
      <c r="AI44"/>
      <c r="AJ44"/>
      <c r="AK44"/>
      <c r="AL44"/>
      <c r="AM44"/>
      <c r="AN44"/>
      <c r="AO44" s="14"/>
    </row>
    <row r="45" spans="1:54" x14ac:dyDescent="0.3">
      <c r="A45" s="1" t="str">
        <f>IF(A44&lt;'Project Information'!B$11,A44+1,"")</f>
        <v/>
      </c>
      <c r="B45" s="22">
        <v>0</v>
      </c>
      <c r="C45" s="22">
        <v>0</v>
      </c>
      <c r="D45" s="8">
        <f t="shared" si="0"/>
        <v>0</v>
      </c>
      <c r="G45"/>
      <c r="H45"/>
      <c r="I45"/>
      <c r="J45"/>
      <c r="K45"/>
      <c r="L45"/>
      <c r="M45"/>
      <c r="N45"/>
      <c r="O45"/>
      <c r="P45"/>
      <c r="Q45"/>
      <c r="R45"/>
      <c r="S45"/>
      <c r="T45"/>
      <c r="U45"/>
      <c r="V45"/>
      <c r="W45"/>
      <c r="X45"/>
      <c r="Y45"/>
      <c r="Z45"/>
      <c r="AA45"/>
      <c r="AB45"/>
      <c r="AC45"/>
      <c r="AD45"/>
      <c r="AE45"/>
      <c r="AF45"/>
      <c r="AG45"/>
      <c r="AH45"/>
      <c r="AI45"/>
      <c r="AJ45"/>
      <c r="AK45"/>
      <c r="AL45"/>
      <c r="AM45"/>
      <c r="AN45"/>
      <c r="AO45" s="14"/>
    </row>
    <row r="46" spans="1:54" x14ac:dyDescent="0.3">
      <c r="A46" s="1" t="str">
        <f>IF(A45&lt;'Project Information'!B$11,A45+1,"")</f>
        <v/>
      </c>
      <c r="B46" s="22">
        <v>0</v>
      </c>
      <c r="C46" s="22">
        <v>0</v>
      </c>
      <c r="D46" s="8">
        <f t="shared" si="0"/>
        <v>0</v>
      </c>
      <c r="G46"/>
      <c r="H46"/>
      <c r="I46"/>
      <c r="J46"/>
      <c r="K46"/>
      <c r="L46"/>
      <c r="M46"/>
      <c r="N46"/>
      <c r="O46"/>
      <c r="P46"/>
      <c r="Q46"/>
      <c r="R46"/>
      <c r="S46"/>
      <c r="T46"/>
      <c r="U46"/>
      <c r="V46"/>
      <c r="W46"/>
      <c r="X46"/>
      <c r="Y46"/>
      <c r="Z46"/>
      <c r="AA46"/>
      <c r="AB46"/>
      <c r="AC46"/>
      <c r="AD46"/>
      <c r="AE46"/>
      <c r="AF46"/>
      <c r="AG46"/>
      <c r="AH46"/>
      <c r="AI46"/>
      <c r="AJ46"/>
      <c r="AK46"/>
      <c r="AL46"/>
      <c r="AM46"/>
      <c r="AN46"/>
      <c r="AO46" s="14"/>
    </row>
    <row r="47" spans="1:54" x14ac:dyDescent="0.3">
      <c r="A47" s="1" t="str">
        <f>IF(A46&lt;'Project Information'!B$11,A46+1,"")</f>
        <v/>
      </c>
      <c r="B47" s="22">
        <v>0</v>
      </c>
      <c r="C47" s="22">
        <v>0</v>
      </c>
      <c r="D47" s="8">
        <f t="shared" si="0"/>
        <v>0</v>
      </c>
      <c r="G47"/>
      <c r="H47"/>
      <c r="I47"/>
      <c r="J47"/>
      <c r="K47"/>
      <c r="L47"/>
      <c r="M47"/>
      <c r="N47"/>
      <c r="O47"/>
      <c r="P47"/>
      <c r="Q47"/>
      <c r="R47"/>
      <c r="S47"/>
      <c r="T47"/>
      <c r="U47"/>
      <c r="V47"/>
      <c r="W47"/>
      <c r="X47"/>
      <c r="Y47"/>
      <c r="Z47"/>
      <c r="AA47"/>
      <c r="AB47"/>
      <c r="AC47"/>
      <c r="AD47"/>
      <c r="AE47"/>
      <c r="AF47"/>
      <c r="AG47"/>
      <c r="AH47"/>
      <c r="AI47"/>
      <c r="AJ47"/>
      <c r="AK47"/>
      <c r="AL47"/>
      <c r="AM47"/>
      <c r="AN47"/>
      <c r="AO47" s="14"/>
    </row>
    <row r="48" spans="1:54" x14ac:dyDescent="0.3">
      <c r="A48" s="1" t="str">
        <f>IF(A47&lt;'Project Information'!B$11,A47+1,"")</f>
        <v/>
      </c>
      <c r="B48" s="22">
        <v>0</v>
      </c>
      <c r="C48" s="22">
        <v>0</v>
      </c>
      <c r="D48" s="8">
        <f t="shared" si="0"/>
        <v>0</v>
      </c>
      <c r="G48"/>
      <c r="H48"/>
      <c r="I48"/>
      <c r="J48"/>
      <c r="K48"/>
      <c r="L48"/>
      <c r="M48"/>
      <c r="N48"/>
      <c r="O48"/>
      <c r="P48"/>
      <c r="Q48"/>
      <c r="R48"/>
      <c r="S48"/>
      <c r="T48"/>
      <c r="U48"/>
      <c r="V48"/>
      <c r="W48"/>
      <c r="X48"/>
      <c r="Y48"/>
      <c r="Z48"/>
      <c r="AA48"/>
      <c r="AB48"/>
      <c r="AC48"/>
      <c r="AD48"/>
      <c r="AE48"/>
      <c r="AF48"/>
      <c r="AG48"/>
      <c r="AH48"/>
      <c r="AI48"/>
      <c r="AJ48"/>
      <c r="AK48"/>
      <c r="AL48"/>
      <c r="AM48"/>
      <c r="AN48"/>
      <c r="AO48" s="14"/>
    </row>
    <row r="49" spans="1:54" x14ac:dyDescent="0.3">
      <c r="A49" s="1" t="str">
        <f>IF(A48&lt;'Project Information'!B$11,A48+1,"")</f>
        <v/>
      </c>
      <c r="B49" s="22">
        <v>0</v>
      </c>
      <c r="C49" s="22">
        <v>0</v>
      </c>
      <c r="D49" s="9">
        <f t="shared" si="0"/>
        <v>0</v>
      </c>
      <c r="G49"/>
      <c r="H49"/>
      <c r="I49"/>
      <c r="J49"/>
      <c r="K49"/>
      <c r="L49"/>
      <c r="M49"/>
      <c r="N49"/>
      <c r="O49"/>
      <c r="P49"/>
      <c r="Q49"/>
      <c r="R49"/>
      <c r="S49"/>
      <c r="T49"/>
      <c r="U49"/>
      <c r="V49"/>
      <c r="W49"/>
      <c r="X49"/>
      <c r="Y49"/>
      <c r="Z49"/>
      <c r="AA49"/>
      <c r="AB49"/>
      <c r="AC49"/>
      <c r="AD49"/>
      <c r="AE49"/>
      <c r="AF49"/>
      <c r="AG49"/>
      <c r="AH49"/>
      <c r="AI49"/>
      <c r="AJ49"/>
      <c r="AK49"/>
      <c r="AL49"/>
      <c r="AM49"/>
      <c r="AN49"/>
      <c r="AO49" s="14"/>
    </row>
    <row r="50" spans="1:54" x14ac:dyDescent="0.3">
      <c r="A50" s="31"/>
      <c r="B50" s="32"/>
      <c r="C50" s="32"/>
      <c r="D50" s="29"/>
      <c r="G50"/>
      <c r="H50"/>
      <c r="I50"/>
      <c r="J50"/>
      <c r="K50"/>
      <c r="L50"/>
      <c r="M50"/>
      <c r="N50"/>
      <c r="O50"/>
      <c r="P50"/>
      <c r="Q50"/>
      <c r="R50"/>
      <c r="S50"/>
      <c r="T50"/>
      <c r="U50"/>
      <c r="V50"/>
      <c r="W50"/>
      <c r="X50"/>
      <c r="Y50"/>
      <c r="Z50"/>
      <c r="AA50"/>
      <c r="AB50"/>
      <c r="AC50"/>
      <c r="AD50"/>
      <c r="AE50"/>
      <c r="AF50"/>
      <c r="AG50"/>
      <c r="AH50"/>
      <c r="AI50"/>
      <c r="AJ50"/>
      <c r="AK50"/>
      <c r="AL50"/>
      <c r="AM50"/>
      <c r="AN50"/>
      <c r="AO50" s="14"/>
    </row>
    <row r="51" spans="1:54" x14ac:dyDescent="0.3">
      <c r="B51" s="28"/>
      <c r="C51" s="28"/>
      <c r="D51" s="29"/>
      <c r="G51"/>
      <c r="H51"/>
      <c r="I51"/>
      <c r="J51"/>
      <c r="K51"/>
      <c r="L51"/>
      <c r="M51"/>
      <c r="N51"/>
      <c r="O51"/>
      <c r="P51"/>
      <c r="Q51"/>
      <c r="R51"/>
      <c r="S51"/>
      <c r="T51"/>
      <c r="U51"/>
      <c r="V51"/>
      <c r="W51"/>
      <c r="X51"/>
      <c r="Y51"/>
      <c r="Z51"/>
      <c r="AA51"/>
      <c r="AB51"/>
      <c r="AC51"/>
      <c r="AD51"/>
      <c r="AE51"/>
      <c r="AF51"/>
      <c r="AG51"/>
      <c r="AH51"/>
      <c r="AI51"/>
      <c r="AJ51"/>
      <c r="AK51"/>
      <c r="AL51"/>
      <c r="AM51"/>
      <c r="AN51"/>
      <c r="AO51" s="14"/>
    </row>
    <row r="52" spans="1:54" x14ac:dyDescent="0.3">
      <c r="B52" s="28"/>
      <c r="C52" s="28"/>
      <c r="D52" s="29"/>
      <c r="G52"/>
      <c r="H52"/>
      <c r="I52"/>
      <c r="J52"/>
      <c r="K52"/>
      <c r="L52"/>
      <c r="M52"/>
      <c r="N52"/>
      <c r="O52"/>
      <c r="P52"/>
      <c r="Q52"/>
      <c r="R52"/>
      <c r="S52"/>
      <c r="T52"/>
      <c r="U52"/>
      <c r="V52"/>
      <c r="W52"/>
      <c r="X52"/>
      <c r="Y52"/>
      <c r="Z52"/>
      <c r="AA52"/>
      <c r="AB52"/>
      <c r="AC52"/>
      <c r="AD52"/>
      <c r="AE52"/>
      <c r="AF52"/>
      <c r="AG52"/>
      <c r="AH52"/>
      <c r="AI52"/>
      <c r="AJ52"/>
      <c r="AK52"/>
      <c r="AL52"/>
      <c r="AM52"/>
      <c r="AN52"/>
      <c r="AO52" s="14"/>
    </row>
    <row r="53" spans="1:54" x14ac:dyDescent="0.3">
      <c r="B53" s="28"/>
      <c r="C53" s="28"/>
      <c r="D53" s="29"/>
      <c r="G53"/>
      <c r="H53"/>
      <c r="I53"/>
      <c r="J53"/>
      <c r="K53"/>
      <c r="L53"/>
      <c r="M53"/>
      <c r="N53"/>
      <c r="O53"/>
      <c r="P53"/>
      <c r="Q53"/>
      <c r="R53"/>
      <c r="S53"/>
      <c r="T53"/>
      <c r="U53"/>
      <c r="V53"/>
      <c r="W53"/>
      <c r="X53"/>
      <c r="Y53"/>
      <c r="Z53"/>
      <c r="AA53"/>
      <c r="AB53"/>
      <c r="AC53"/>
      <c r="AD53"/>
      <c r="AE53"/>
      <c r="AF53"/>
      <c r="AG53"/>
      <c r="AH53"/>
      <c r="AI53"/>
      <c r="AJ53"/>
      <c r="AK53"/>
      <c r="AL53"/>
      <c r="AM53"/>
      <c r="AN53"/>
      <c r="AO53" s="14"/>
    </row>
    <row r="54" spans="1:54" x14ac:dyDescent="0.3">
      <c r="B54" s="28"/>
      <c r="C54" s="28"/>
      <c r="D54" s="29"/>
      <c r="G54"/>
      <c r="H54"/>
      <c r="I54"/>
      <c r="J54"/>
      <c r="K54"/>
      <c r="L54"/>
      <c r="M54"/>
      <c r="N54"/>
      <c r="O54"/>
      <c r="P54"/>
      <c r="Q54"/>
      <c r="R54"/>
      <c r="S54"/>
      <c r="T54"/>
      <c r="U54"/>
      <c r="V54"/>
      <c r="W54"/>
      <c r="X54"/>
      <c r="Y54"/>
      <c r="Z54"/>
      <c r="AA54"/>
      <c r="AB54"/>
      <c r="AC54"/>
      <c r="AD54"/>
      <c r="AE54"/>
      <c r="AF54"/>
      <c r="AG54"/>
      <c r="AH54"/>
      <c r="AI54"/>
      <c r="AJ54"/>
      <c r="AK54"/>
      <c r="AL54"/>
      <c r="AM54"/>
      <c r="AN54"/>
      <c r="AO54" s="14"/>
    </row>
    <row r="55" spans="1:54" x14ac:dyDescent="0.3">
      <c r="B55" s="28"/>
      <c r="C55" s="28"/>
      <c r="D55" s="29"/>
      <c r="G55"/>
      <c r="H55"/>
      <c r="I55"/>
      <c r="J55"/>
      <c r="K55"/>
      <c r="L55"/>
      <c r="M55"/>
      <c r="N55"/>
      <c r="O55"/>
      <c r="P55"/>
      <c r="Q55"/>
      <c r="R55"/>
      <c r="S55"/>
      <c r="T55"/>
      <c r="U55"/>
      <c r="V55"/>
      <c r="W55"/>
      <c r="X55"/>
      <c r="Y55"/>
      <c r="Z55"/>
      <c r="AA55"/>
      <c r="AB55"/>
      <c r="AC55"/>
      <c r="AD55"/>
      <c r="AE55"/>
      <c r="AF55"/>
      <c r="AG55"/>
      <c r="AH55"/>
      <c r="AI55"/>
      <c r="AJ55"/>
      <c r="AK55"/>
      <c r="AL55"/>
      <c r="AM55"/>
      <c r="AN55"/>
      <c r="AO55" s="14"/>
    </row>
    <row r="56" spans="1:54" x14ac:dyDescent="0.3">
      <c r="B56" s="28"/>
      <c r="C56" s="28"/>
      <c r="D56" s="29"/>
      <c r="G56"/>
      <c r="H56"/>
      <c r="I56"/>
      <c r="J56"/>
      <c r="K56"/>
      <c r="L56"/>
      <c r="M56"/>
      <c r="N56"/>
      <c r="O56"/>
      <c r="P56"/>
      <c r="Q56"/>
      <c r="R56"/>
      <c r="S56"/>
      <c r="T56"/>
      <c r="U56"/>
      <c r="V56"/>
      <c r="W56"/>
      <c r="X56"/>
      <c r="Y56"/>
      <c r="Z56"/>
      <c r="AA56"/>
      <c r="AB56"/>
      <c r="AC56"/>
      <c r="AD56"/>
      <c r="AE56"/>
      <c r="AF56"/>
      <c r="AG56"/>
      <c r="AH56"/>
      <c r="AI56"/>
      <c r="AJ56"/>
      <c r="AK56"/>
      <c r="AL56"/>
      <c r="AM56"/>
      <c r="AN56"/>
      <c r="AO56" s="14"/>
    </row>
    <row r="57" spans="1:54" x14ac:dyDescent="0.3">
      <c r="B57" s="28"/>
      <c r="C57" s="28"/>
      <c r="D57" s="29"/>
      <c r="G57"/>
      <c r="H57"/>
      <c r="I57"/>
      <c r="J57"/>
      <c r="K57"/>
      <c r="L57"/>
      <c r="M57"/>
      <c r="N57"/>
      <c r="O57"/>
      <c r="P57"/>
      <c r="Q57"/>
      <c r="R57"/>
      <c r="S57"/>
      <c r="T57"/>
      <c r="U57"/>
      <c r="V57"/>
      <c r="W57"/>
      <c r="X57"/>
      <c r="Y57"/>
      <c r="Z57"/>
      <c r="AA57"/>
      <c r="AB57"/>
      <c r="AC57"/>
      <c r="AD57"/>
      <c r="AE57"/>
      <c r="AF57"/>
      <c r="AG57"/>
      <c r="AH57"/>
      <c r="AI57"/>
      <c r="AJ57"/>
      <c r="AK57"/>
      <c r="AL57"/>
      <c r="AM57"/>
      <c r="AN57"/>
      <c r="AO57" s="14"/>
    </row>
    <row r="58" spans="1:54" x14ac:dyDescent="0.3">
      <c r="B58" s="28"/>
      <c r="C58" s="28"/>
      <c r="D58" s="29"/>
      <c r="G58"/>
      <c r="H58"/>
      <c r="I58"/>
      <c r="J58"/>
      <c r="K58"/>
      <c r="L58"/>
      <c r="M58"/>
      <c r="N58"/>
      <c r="O58"/>
      <c r="P58"/>
      <c r="Q58"/>
      <c r="R58"/>
      <c r="S58"/>
      <c r="T58"/>
      <c r="U58"/>
      <c r="V58"/>
      <c r="W58"/>
      <c r="X58"/>
      <c r="Y58"/>
      <c r="Z58"/>
      <c r="AA58"/>
      <c r="AB58"/>
      <c r="AC58"/>
      <c r="AD58"/>
      <c r="AE58"/>
      <c r="AF58"/>
      <c r="AG58"/>
      <c r="AH58"/>
      <c r="AI58"/>
      <c r="AJ58"/>
      <c r="AK58"/>
      <c r="AL58"/>
      <c r="AM58"/>
      <c r="AN58"/>
      <c r="AO58" s="14"/>
    </row>
    <row r="59" spans="1:54" x14ac:dyDescent="0.3">
      <c r="B59" s="28"/>
      <c r="C59" s="28"/>
      <c r="D59" s="29"/>
      <c r="G59"/>
      <c r="H59"/>
      <c r="I59"/>
      <c r="J59"/>
      <c r="K59"/>
      <c r="L59"/>
      <c r="M59"/>
      <c r="N59"/>
      <c r="O59"/>
      <c r="P59"/>
      <c r="Q59"/>
      <c r="R59"/>
      <c r="S59"/>
      <c r="T59"/>
      <c r="U59"/>
      <c r="V59"/>
      <c r="W59"/>
      <c r="X59"/>
      <c r="Y59"/>
      <c r="Z59"/>
      <c r="AA59"/>
      <c r="AB59"/>
      <c r="AC59"/>
      <c r="AD59"/>
      <c r="AE59"/>
      <c r="AF59"/>
      <c r="AG59"/>
      <c r="AH59"/>
      <c r="AI59"/>
      <c r="AJ59"/>
      <c r="AK59"/>
      <c r="AL59"/>
      <c r="AM59"/>
      <c r="AN59"/>
      <c r="AO59" s="14"/>
    </row>
    <row r="60" spans="1:54" x14ac:dyDescent="0.3">
      <c r="G60"/>
      <c r="H60"/>
      <c r="I60"/>
      <c r="J60"/>
      <c r="K60"/>
      <c r="L60"/>
      <c r="M60"/>
      <c r="N60"/>
      <c r="O60"/>
      <c r="P60"/>
      <c r="Q60"/>
      <c r="R60"/>
      <c r="S60"/>
      <c r="T60"/>
      <c r="U60"/>
      <c r="V60"/>
      <c r="W60"/>
      <c r="X60"/>
      <c r="Y60"/>
      <c r="Z60"/>
      <c r="AA60"/>
      <c r="AB60"/>
      <c r="AC60"/>
      <c r="AD60"/>
      <c r="AE60"/>
      <c r="AF60"/>
      <c r="AG60"/>
      <c r="AH60"/>
      <c r="AI60"/>
      <c r="AJ60"/>
      <c r="AK60"/>
      <c r="AL60"/>
      <c r="AM60"/>
      <c r="AN60"/>
      <c r="AO60" s="14"/>
    </row>
    <row r="61" spans="1:54" x14ac:dyDescent="0.3">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 thickBot="1" x14ac:dyDescent="0.35">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115"/>
  <sheetViews>
    <sheetView topLeftCell="A16" workbookViewId="0">
      <selection activeCell="P46" sqref="P46"/>
    </sheetView>
  </sheetViews>
  <sheetFormatPr defaultColWidth="9.109375" defaultRowHeight="14.4" x14ac:dyDescent="0.3"/>
  <cols>
    <col min="1" max="1" width="28.5546875" style="5" customWidth="1"/>
    <col min="2" max="2" width="35.109375" style="5" customWidth="1"/>
    <col min="3" max="3" width="30.6640625" style="5" customWidth="1"/>
    <col min="4" max="4" width="29.109375" style="5" customWidth="1"/>
    <col min="5" max="5" width="3.109375" style="5" customWidth="1"/>
    <col min="6" max="7" width="2.88671875" style="5" customWidth="1"/>
    <col min="8" max="8" width="7" style="5" customWidth="1"/>
    <col min="9" max="9" width="6.5546875" style="5" bestFit="1" customWidth="1"/>
    <col min="10" max="10" width="10.109375" style="5" bestFit="1" customWidth="1"/>
    <col min="11" max="11" width="6" style="5" bestFit="1" customWidth="1"/>
    <col min="12" max="12" width="3.5546875" style="5" customWidth="1"/>
    <col min="13" max="14" width="17.88671875" style="5" bestFit="1" customWidth="1"/>
    <col min="15" max="15" width="3.6640625" style="5" customWidth="1"/>
    <col min="16" max="16" width="31.33203125" style="5" customWidth="1"/>
    <col min="17" max="16384" width="9.109375" style="5"/>
  </cols>
  <sheetData>
    <row r="1" spans="1:9" ht="20.399999999999999" thickBot="1" x14ac:dyDescent="0.45">
      <c r="A1" s="96" t="s">
        <v>223</v>
      </c>
    </row>
    <row r="2" spans="1:9" ht="15" thickTop="1" x14ac:dyDescent="0.3">
      <c r="A2" s="152" t="s">
        <v>245</v>
      </c>
      <c r="B2" s="152"/>
      <c r="C2" s="152"/>
      <c r="D2" s="152"/>
      <c r="E2" s="152"/>
      <c r="F2" s="152"/>
    </row>
    <row r="3" spans="1:9" x14ac:dyDescent="0.3">
      <c r="A3" s="5" t="s">
        <v>205</v>
      </c>
    </row>
    <row r="4" spans="1:9" x14ac:dyDescent="0.3">
      <c r="A4" s="153" t="s">
        <v>265</v>
      </c>
      <c r="B4" s="152"/>
      <c r="C4" s="152"/>
      <c r="D4" s="152"/>
      <c r="E4" s="152"/>
      <c r="F4" s="152"/>
      <c r="G4" s="152"/>
      <c r="H4" s="152"/>
      <c r="I4" s="152"/>
    </row>
    <row r="5" spans="1:9" x14ac:dyDescent="0.3">
      <c r="A5" s="38" t="s">
        <v>205</v>
      </c>
    </row>
    <row r="6" spans="1:9" x14ac:dyDescent="0.3">
      <c r="A6" s="97" t="s">
        <v>246</v>
      </c>
    </row>
    <row r="7" spans="1:9" x14ac:dyDescent="0.3">
      <c r="A7" s="116" t="s">
        <v>48</v>
      </c>
      <c r="B7" s="116" t="s">
        <v>275</v>
      </c>
    </row>
    <row r="8" spans="1:9" x14ac:dyDescent="0.3">
      <c r="A8" s="35" t="s">
        <v>195</v>
      </c>
      <c r="B8" s="42">
        <f>'Parameter Values'!B53</f>
        <v>0.52</v>
      </c>
    </row>
    <row r="9" spans="1:9" x14ac:dyDescent="0.3">
      <c r="A9" s="35" t="s">
        <v>196</v>
      </c>
      <c r="B9" s="42">
        <f>'Parameter Values'!B54</f>
        <v>1.32</v>
      </c>
    </row>
    <row r="10" spans="1:9" x14ac:dyDescent="0.3">
      <c r="A10" s="116" t="s">
        <v>278</v>
      </c>
      <c r="B10" s="116" t="s">
        <v>288</v>
      </c>
    </row>
    <row r="11" spans="1:9" x14ac:dyDescent="0.3">
      <c r="A11" s="131" t="s">
        <v>279</v>
      </c>
      <c r="B11" s="132" t="s">
        <v>287</v>
      </c>
    </row>
    <row r="12" spans="1:9" x14ac:dyDescent="0.3">
      <c r="A12" s="35" t="s">
        <v>280</v>
      </c>
      <c r="B12" s="133">
        <f>'Parameter Values'!B63</f>
        <v>273</v>
      </c>
    </row>
    <row r="13" spans="1:9" x14ac:dyDescent="0.3">
      <c r="A13" s="35" t="s">
        <v>281</v>
      </c>
      <c r="B13" s="133">
        <f>'Parameter Values'!B64</f>
        <v>299</v>
      </c>
    </row>
    <row r="14" spans="1:9" x14ac:dyDescent="0.3">
      <c r="A14" s="35" t="s">
        <v>282</v>
      </c>
      <c r="B14" s="133">
        <f>'Parameter Values'!B65</f>
        <v>747</v>
      </c>
    </row>
    <row r="15" spans="1:9" x14ac:dyDescent="0.3">
      <c r="A15" s="35" t="s">
        <v>283</v>
      </c>
      <c r="B15" s="133">
        <f>'Parameter Values'!B66</f>
        <v>331</v>
      </c>
    </row>
    <row r="16" spans="1:9" x14ac:dyDescent="0.3">
      <c r="A16" s="131" t="s">
        <v>284</v>
      </c>
      <c r="B16" s="132" t="s">
        <v>287</v>
      </c>
    </row>
    <row r="17" spans="1:54" x14ac:dyDescent="0.3">
      <c r="A17" s="35" t="s">
        <v>280</v>
      </c>
      <c r="B17" s="133">
        <f>'Parameter Values'!B68</f>
        <v>799</v>
      </c>
    </row>
    <row r="18" spans="1:54" ht="15" thickBot="1" x14ac:dyDescent="0.35">
      <c r="A18" s="35" t="s">
        <v>281</v>
      </c>
      <c r="B18" s="133">
        <f>'Parameter Values'!B69</f>
        <v>778</v>
      </c>
    </row>
    <row r="19" spans="1:54" x14ac:dyDescent="0.3">
      <c r="A19" s="35" t="s">
        <v>282</v>
      </c>
      <c r="B19" s="133">
        <f>'Parameter Values'!B70</f>
        <v>1226</v>
      </c>
      <c r="G19" s="183"/>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3">
      <c r="A20" s="35" t="s">
        <v>283</v>
      </c>
      <c r="B20" s="133">
        <f>'Parameter Values'!B71</f>
        <v>810</v>
      </c>
      <c r="G20" s="147"/>
      <c r="H20" s="187" t="s">
        <v>476</v>
      </c>
      <c r="I20" s="187"/>
      <c r="J20" s="187"/>
      <c r="K20" s="187"/>
      <c r="L20" s="187"/>
      <c r="M20" s="187"/>
      <c r="N20" s="187"/>
      <c r="O20" s="187"/>
      <c r="P20" s="187"/>
      <c r="Q20" s="187"/>
      <c r="R20" s="187"/>
      <c r="S20" s="187"/>
      <c r="T20" s="187"/>
      <c r="U20" s="187"/>
      <c r="V20" s="187"/>
      <c r="W20" s="187"/>
      <c r="X20" s="187"/>
      <c r="Y20" s="187"/>
      <c r="Z20" s="187"/>
      <c r="AA20" s="187"/>
      <c r="AB20" s="187"/>
      <c r="AC20"/>
      <c r="AD20"/>
      <c r="AE20"/>
      <c r="AF20"/>
      <c r="AG20"/>
      <c r="AH20"/>
      <c r="AI20"/>
      <c r="AJ20"/>
      <c r="AK20"/>
      <c r="AL20"/>
      <c r="AM20"/>
      <c r="AN20"/>
      <c r="AO20"/>
      <c r="AP20"/>
      <c r="AQ20"/>
      <c r="AR20"/>
      <c r="AS20"/>
      <c r="AT20"/>
      <c r="AU20"/>
      <c r="AV20"/>
      <c r="AW20"/>
      <c r="AX20"/>
      <c r="AY20"/>
      <c r="AZ20"/>
      <c r="BA20"/>
      <c r="BB20" s="14"/>
    </row>
    <row r="21" spans="1:54" x14ac:dyDescent="0.3">
      <c r="A21" s="131" t="s">
        <v>285</v>
      </c>
      <c r="B21" s="132" t="s">
        <v>287</v>
      </c>
      <c r="G21" s="147"/>
      <c r="H21" s="187" t="s">
        <v>438</v>
      </c>
      <c r="I21" s="187"/>
      <c r="J21" s="187"/>
      <c r="K21" s="187"/>
      <c r="L21" s="187"/>
      <c r="M21" s="187"/>
      <c r="N21" s="187"/>
      <c r="O21" s="187"/>
      <c r="P21" s="187"/>
      <c r="Q21" s="187"/>
      <c r="R21" s="187"/>
      <c r="S21" s="187"/>
      <c r="T21" s="187"/>
      <c r="U21" s="187"/>
      <c r="V21" s="187"/>
      <c r="W21" s="187"/>
      <c r="X21" s="187"/>
      <c r="Y21" s="187"/>
      <c r="Z21" s="187"/>
      <c r="AA21" s="187"/>
      <c r="AB21" s="187"/>
      <c r="AC21"/>
      <c r="AD21"/>
      <c r="AE21"/>
      <c r="AF21"/>
      <c r="AG21"/>
      <c r="AH21"/>
      <c r="AI21"/>
      <c r="AJ21"/>
      <c r="AK21"/>
      <c r="AL21"/>
      <c r="AM21"/>
      <c r="AN21"/>
      <c r="AO21"/>
      <c r="AP21"/>
      <c r="AQ21"/>
      <c r="AR21"/>
      <c r="AS21"/>
      <c r="AT21"/>
      <c r="AU21"/>
      <c r="AV21"/>
      <c r="AW21"/>
      <c r="AX21"/>
      <c r="AY21"/>
      <c r="AZ21"/>
      <c r="BA21"/>
      <c r="BB21" s="14"/>
    </row>
    <row r="22" spans="1:54" x14ac:dyDescent="0.3">
      <c r="A22" s="35" t="s">
        <v>286</v>
      </c>
      <c r="B22" s="42">
        <f>'Parameter Values'!B73</f>
        <v>1.03</v>
      </c>
      <c r="G22" s="147"/>
      <c r="H22" s="187" t="s">
        <v>396</v>
      </c>
      <c r="I22" s="187"/>
      <c r="J22" s="187"/>
      <c r="K22" s="187"/>
      <c r="L22" s="187"/>
      <c r="M22" s="187"/>
      <c r="N22" s="187"/>
      <c r="O22" s="187"/>
      <c r="P22" s="187"/>
      <c r="Q22" s="187"/>
      <c r="R22" s="187"/>
      <c r="S22" s="187"/>
      <c r="T22" s="187"/>
      <c r="U22" s="187"/>
      <c r="V22" s="187"/>
      <c r="W22" s="187"/>
      <c r="X22" s="187"/>
      <c r="Y22" s="187"/>
      <c r="Z22" s="187"/>
      <c r="AA22" s="187"/>
      <c r="AB22" s="187"/>
      <c r="AC22"/>
      <c r="AD22"/>
      <c r="AE22"/>
      <c r="AF22"/>
      <c r="AG22"/>
      <c r="AH22"/>
      <c r="AI22"/>
      <c r="AJ22"/>
      <c r="AK22"/>
      <c r="AL22"/>
      <c r="AM22"/>
      <c r="AN22"/>
      <c r="AO22"/>
      <c r="AP22"/>
      <c r="AQ22"/>
      <c r="AR22"/>
      <c r="AS22"/>
      <c r="AT22"/>
      <c r="AU22"/>
      <c r="AV22"/>
      <c r="AW22"/>
      <c r="AX22"/>
      <c r="AY22"/>
      <c r="AZ22"/>
      <c r="BA22"/>
      <c r="BB22" s="14"/>
    </row>
    <row r="23" spans="1:54" x14ac:dyDescent="0.3">
      <c r="A23" s="38" t="s">
        <v>205</v>
      </c>
      <c r="B23" s="38"/>
      <c r="G23" s="147"/>
      <c r="H23" s="187"/>
      <c r="I23" s="187"/>
      <c r="J23" s="187"/>
      <c r="K23" s="187"/>
      <c r="L23" s="187"/>
      <c r="M23" s="187"/>
      <c r="N23" s="187"/>
      <c r="O23" s="187"/>
      <c r="P23" s="187"/>
      <c r="Q23" s="244"/>
      <c r="R23" s="187"/>
      <c r="S23" s="187"/>
      <c r="T23" s="187"/>
      <c r="U23" s="187"/>
      <c r="V23" s="187"/>
      <c r="W23" s="187"/>
      <c r="X23" s="187"/>
      <c r="Y23" s="187"/>
      <c r="Z23" s="187"/>
      <c r="AA23" s="187"/>
      <c r="AB23" s="187"/>
      <c r="AC23"/>
      <c r="AD23"/>
      <c r="AE23"/>
      <c r="AF23"/>
      <c r="AG23"/>
      <c r="AH23"/>
      <c r="AI23"/>
      <c r="AJ23"/>
      <c r="AK23"/>
      <c r="AL23"/>
      <c r="AM23"/>
      <c r="AN23"/>
      <c r="AO23"/>
      <c r="AP23"/>
      <c r="AQ23"/>
      <c r="AR23"/>
      <c r="AS23"/>
      <c r="AT23"/>
      <c r="AU23"/>
      <c r="AV23"/>
      <c r="AW23"/>
      <c r="AX23"/>
      <c r="AY23"/>
      <c r="AZ23"/>
      <c r="BA23"/>
      <c r="BB23" s="14"/>
    </row>
    <row r="24" spans="1:54" ht="15" thickBot="1" x14ac:dyDescent="0.35">
      <c r="A24" s="97" t="s">
        <v>249</v>
      </c>
      <c r="G24" s="147"/>
      <c r="H24" s="187" t="s">
        <v>428</v>
      </c>
      <c r="I24" s="245" t="s">
        <v>369</v>
      </c>
      <c r="J24" s="246" t="s">
        <v>370</v>
      </c>
      <c r="K24" s="246" t="s">
        <v>371</v>
      </c>
      <c r="L24" s="187"/>
      <c r="M24" s="187"/>
      <c r="N24" s="246" t="s">
        <v>372</v>
      </c>
      <c r="O24" s="187"/>
      <c r="P24" s="187"/>
      <c r="Q24" s="187"/>
      <c r="R24" s="187"/>
      <c r="S24" s="187"/>
      <c r="T24" s="187"/>
      <c r="U24" s="187"/>
      <c r="V24" s="187"/>
      <c r="W24" s="187"/>
      <c r="X24" s="187"/>
      <c r="Y24" s="187"/>
      <c r="Z24" s="187"/>
      <c r="AA24" s="187"/>
      <c r="AB24" s="187"/>
      <c r="AC24"/>
      <c r="AD24"/>
      <c r="AE24"/>
      <c r="AF24"/>
      <c r="AG24"/>
      <c r="AH24"/>
      <c r="AI24"/>
      <c r="AJ24"/>
      <c r="AK24"/>
      <c r="AL24"/>
      <c r="AM24"/>
      <c r="AN24"/>
      <c r="AO24"/>
      <c r="AP24"/>
      <c r="AQ24"/>
      <c r="AR24"/>
      <c r="AS24"/>
      <c r="AT24"/>
      <c r="AU24"/>
      <c r="AV24"/>
      <c r="AW24"/>
      <c r="AX24"/>
      <c r="AY24"/>
      <c r="AZ24"/>
      <c r="BA24"/>
      <c r="BB24" s="14"/>
    </row>
    <row r="25" spans="1:54" x14ac:dyDescent="0.3">
      <c r="A25" s="107" t="s">
        <v>4</v>
      </c>
      <c r="B25" s="108" t="s">
        <v>177</v>
      </c>
      <c r="C25" s="108" t="s">
        <v>178</v>
      </c>
      <c r="D25" s="114" t="s">
        <v>10</v>
      </c>
      <c r="G25" s="13"/>
      <c r="H25" s="187" t="s">
        <v>373</v>
      </c>
      <c r="I25" s="234">
        <v>7960</v>
      </c>
      <c r="J25" s="247">
        <v>2E-3</v>
      </c>
      <c r="K25" s="248">
        <v>0.51</v>
      </c>
      <c r="L25" s="187"/>
      <c r="M25" s="249" t="s">
        <v>374</v>
      </c>
      <c r="N25" s="250">
        <f>0.6+3*J25</f>
        <v>0.60599999999999998</v>
      </c>
      <c r="O25" s="187"/>
      <c r="P25" s="187"/>
      <c r="Q25" s="187"/>
      <c r="R25" s="187"/>
      <c r="S25" s="187"/>
      <c r="T25" s="187"/>
      <c r="U25" s="187"/>
      <c r="V25" s="187"/>
      <c r="W25" s="187"/>
      <c r="X25" s="187"/>
      <c r="Y25" s="187"/>
      <c r="Z25" s="187"/>
      <c r="AA25" s="187"/>
      <c r="AB25" s="187"/>
      <c r="AC25"/>
      <c r="AD25"/>
      <c r="AE25"/>
      <c r="AF25"/>
      <c r="AG25"/>
      <c r="AH25"/>
      <c r="AI25"/>
      <c r="AJ25"/>
      <c r="AK25"/>
      <c r="AL25"/>
      <c r="AM25"/>
      <c r="AN25"/>
      <c r="AO25"/>
      <c r="AP25"/>
      <c r="AQ25"/>
      <c r="AR25"/>
      <c r="AS25"/>
      <c r="AT25"/>
      <c r="AU25"/>
      <c r="AV25"/>
      <c r="AW25"/>
      <c r="AX25"/>
      <c r="AY25"/>
      <c r="AZ25"/>
      <c r="BA25"/>
      <c r="BB25" s="14"/>
    </row>
    <row r="26" spans="1:54" x14ac:dyDescent="0.3">
      <c r="A26" s="6">
        <f>'Project Information'!$B$9</f>
        <v>2029</v>
      </c>
      <c r="B26" s="22">
        <v>0</v>
      </c>
      <c r="C26" s="22">
        <f t="shared" ref="C26:C45" si="0">-$Q$35</f>
        <v>-8307</v>
      </c>
      <c r="D26" s="26">
        <f>B26-C26</f>
        <v>8307</v>
      </c>
      <c r="G26" s="13"/>
      <c r="H26" s="187" t="s">
        <v>375</v>
      </c>
      <c r="I26" s="234">
        <v>23374</v>
      </c>
      <c r="J26" s="247">
        <v>2E-3</v>
      </c>
      <c r="K26" s="248">
        <v>0.44</v>
      </c>
      <c r="L26" s="187"/>
      <c r="M26" s="251" t="s">
        <v>376</v>
      </c>
      <c r="N26" s="248">
        <f>0.4+1.2*J26</f>
        <v>0.40240000000000004</v>
      </c>
      <c r="O26" s="187"/>
      <c r="P26" s="187"/>
      <c r="Q26" s="187"/>
      <c r="R26" s="186"/>
      <c r="S26" s="187"/>
      <c r="T26" s="187"/>
      <c r="U26" s="187"/>
      <c r="V26" s="187"/>
      <c r="W26" s="187"/>
      <c r="X26" s="187"/>
      <c r="Y26" s="187"/>
      <c r="Z26" s="187"/>
      <c r="AA26" s="187"/>
      <c r="AB26" s="187"/>
      <c r="AC26"/>
      <c r="AD26"/>
      <c r="AE26"/>
      <c r="AF26"/>
      <c r="AG26"/>
      <c r="AH26"/>
      <c r="AI26"/>
      <c r="AJ26"/>
      <c r="AK26"/>
      <c r="AL26"/>
      <c r="AM26"/>
      <c r="AN26"/>
      <c r="AO26"/>
      <c r="AP26"/>
      <c r="AQ26"/>
      <c r="AR26"/>
      <c r="AS26"/>
      <c r="AT26"/>
      <c r="AU26"/>
      <c r="AV26"/>
      <c r="AW26"/>
      <c r="AX26"/>
      <c r="AY26"/>
      <c r="AZ26"/>
      <c r="BA26"/>
      <c r="BB26" s="14"/>
    </row>
    <row r="27" spans="1:54" ht="15" thickBot="1" x14ac:dyDescent="0.35">
      <c r="A27" s="1">
        <f>IF(A26&lt;'Project Information'!B$11,A26+1,"")</f>
        <v>2030</v>
      </c>
      <c r="B27" s="22">
        <v>0</v>
      </c>
      <c r="C27" s="22">
        <f t="shared" si="0"/>
        <v>-8307</v>
      </c>
      <c r="D27" s="8">
        <f t="shared" ref="D27:D55" si="1">B27-C27</f>
        <v>8307</v>
      </c>
      <c r="G27" s="13"/>
      <c r="H27" s="187" t="s">
        <v>377</v>
      </c>
      <c r="I27" s="252">
        <v>43206</v>
      </c>
      <c r="J27" s="247">
        <v>2E-3</v>
      </c>
      <c r="K27" s="253">
        <v>0.15</v>
      </c>
      <c r="L27" s="187"/>
      <c r="M27" s="254" t="s">
        <v>378</v>
      </c>
      <c r="N27" s="253">
        <f>J27</f>
        <v>2E-3</v>
      </c>
      <c r="O27" s="187"/>
      <c r="P27" s="187"/>
      <c r="Q27" s="187"/>
      <c r="R27" s="187"/>
      <c r="S27" s="187"/>
      <c r="T27" s="187"/>
      <c r="U27" s="187"/>
      <c r="V27" s="187"/>
      <c r="W27" s="187"/>
      <c r="X27" s="187"/>
      <c r="Y27" s="187"/>
      <c r="Z27" s="187"/>
      <c r="AA27" s="187"/>
      <c r="AB27" s="187"/>
      <c r="AC27"/>
      <c r="AD27"/>
      <c r="AE27"/>
      <c r="AF27"/>
      <c r="AG27"/>
      <c r="AH27"/>
      <c r="AI27"/>
      <c r="AJ27"/>
      <c r="AK27"/>
      <c r="AL27"/>
      <c r="AM27"/>
      <c r="AN27"/>
      <c r="AO27"/>
      <c r="AP27"/>
      <c r="AQ27"/>
      <c r="AR27"/>
      <c r="AS27"/>
      <c r="AT27"/>
      <c r="AU27"/>
      <c r="AV27"/>
      <c r="AW27"/>
      <c r="AX27"/>
      <c r="AY27"/>
      <c r="AZ27"/>
      <c r="BA27"/>
      <c r="BB27" s="14"/>
    </row>
    <row r="28" spans="1:54" ht="16.2" thickBot="1" x14ac:dyDescent="0.35">
      <c r="A28" s="1">
        <f>IF(A27&lt;'Project Information'!B$11,A27+1,"")</f>
        <v>2031</v>
      </c>
      <c r="B28" s="22">
        <v>0</v>
      </c>
      <c r="C28" s="22">
        <f t="shared" si="0"/>
        <v>-8307</v>
      </c>
      <c r="D28" s="8">
        <f t="shared" si="1"/>
        <v>8307</v>
      </c>
      <c r="G28" s="13"/>
      <c r="H28" s="187"/>
      <c r="I28" s="187"/>
      <c r="J28" s="187"/>
      <c r="K28" s="187"/>
      <c r="L28" s="187"/>
      <c r="M28" s="187"/>
      <c r="N28" s="187"/>
      <c r="O28" s="187"/>
      <c r="P28" s="187"/>
      <c r="Q28" s="372" t="s">
        <v>379</v>
      </c>
      <c r="R28" s="373"/>
      <c r="S28" s="374"/>
      <c r="T28" s="187"/>
      <c r="U28" s="187"/>
      <c r="V28" s="187"/>
      <c r="W28" s="187"/>
      <c r="X28" s="187"/>
      <c r="Y28" s="187"/>
      <c r="Z28" s="187"/>
      <c r="AA28" s="187"/>
      <c r="AB28" s="187"/>
      <c r="AC28"/>
      <c r="AD28"/>
      <c r="AE28"/>
      <c r="AF28"/>
      <c r="AG28"/>
      <c r="AH28"/>
      <c r="AI28"/>
      <c r="AJ28"/>
      <c r="AK28"/>
      <c r="AL28"/>
      <c r="AM28"/>
      <c r="AN28"/>
      <c r="AO28"/>
      <c r="AP28"/>
      <c r="AQ28"/>
      <c r="AR28"/>
      <c r="AS28"/>
      <c r="AT28"/>
      <c r="AU28"/>
      <c r="AV28"/>
      <c r="AW28"/>
      <c r="AX28"/>
      <c r="AY28"/>
      <c r="AZ28"/>
      <c r="BA28"/>
      <c r="BB28" s="14"/>
    </row>
    <row r="29" spans="1:54" ht="31.8" thickBot="1" x14ac:dyDescent="0.35">
      <c r="A29" s="1">
        <f>IF(A28&lt;'Project Information'!B$11,A28+1,"")</f>
        <v>2032</v>
      </c>
      <c r="B29" s="22">
        <v>0</v>
      </c>
      <c r="C29" s="22">
        <f t="shared" si="0"/>
        <v>-8307</v>
      </c>
      <c r="D29" s="8">
        <f t="shared" si="1"/>
        <v>8307</v>
      </c>
      <c r="G29" s="13"/>
      <c r="H29" s="187"/>
      <c r="I29" s="375" t="s">
        <v>380</v>
      </c>
      <c r="J29" s="376"/>
      <c r="K29" s="377"/>
      <c r="L29" s="187"/>
      <c r="M29" s="378" t="s">
        <v>381</v>
      </c>
      <c r="N29" s="378" t="s">
        <v>382</v>
      </c>
      <c r="O29" s="255"/>
      <c r="P29" s="187"/>
      <c r="Q29" s="256" t="s">
        <v>383</v>
      </c>
      <c r="R29" s="257" t="s">
        <v>384</v>
      </c>
      <c r="S29" s="258" t="s">
        <v>385</v>
      </c>
      <c r="T29" s="187"/>
      <c r="U29" s="187"/>
      <c r="V29" s="187"/>
      <c r="W29" s="187"/>
      <c r="X29" s="187"/>
      <c r="Y29" s="187"/>
      <c r="Z29" s="187"/>
      <c r="AA29" s="187"/>
      <c r="AB29" s="187"/>
      <c r="AC29"/>
      <c r="AD29"/>
      <c r="AE29"/>
      <c r="AF29"/>
      <c r="AG29"/>
      <c r="AH29"/>
      <c r="AI29"/>
      <c r="AJ29"/>
      <c r="AK29"/>
      <c r="AL29"/>
      <c r="AM29"/>
      <c r="AN29"/>
      <c r="AO29"/>
      <c r="AP29"/>
      <c r="AQ29"/>
      <c r="AR29"/>
      <c r="AS29"/>
      <c r="AT29"/>
      <c r="AU29"/>
      <c r="AV29"/>
      <c r="AW29"/>
      <c r="AX29"/>
      <c r="AY29"/>
      <c r="AZ29"/>
      <c r="BA29"/>
      <c r="BB29" s="14"/>
    </row>
    <row r="30" spans="1:54" ht="16.2" thickBot="1" x14ac:dyDescent="0.35">
      <c r="A30" s="1">
        <f>IF(A29&lt;'Project Information'!B$11,A29+1,"")</f>
        <v>2033</v>
      </c>
      <c r="B30" s="22">
        <v>0</v>
      </c>
      <c r="C30" s="22">
        <f t="shared" si="0"/>
        <v>-8307</v>
      </c>
      <c r="D30" s="8">
        <f t="shared" si="1"/>
        <v>8307</v>
      </c>
      <c r="G30" s="13"/>
      <c r="H30" s="187" t="s">
        <v>428</v>
      </c>
      <c r="I30" s="259" t="s">
        <v>386</v>
      </c>
      <c r="J30" s="259" t="s">
        <v>387</v>
      </c>
      <c r="K30" s="260" t="s">
        <v>388</v>
      </c>
      <c r="L30" s="187"/>
      <c r="M30" s="379"/>
      <c r="N30" s="379"/>
      <c r="O30" s="187"/>
      <c r="P30" s="261" t="s">
        <v>389</v>
      </c>
      <c r="Q30" s="262">
        <f>SUM($N$31:$N$33)</f>
        <v>58</v>
      </c>
      <c r="R30" s="262">
        <f>SUM($N$31:$N$33)</f>
        <v>58</v>
      </c>
      <c r="S30" s="262">
        <f>SUM($N$31:$N$33)</f>
        <v>58</v>
      </c>
      <c r="T30" s="187"/>
      <c r="U30" s="187"/>
      <c r="V30" s="187"/>
      <c r="W30" s="187"/>
      <c r="X30" s="187"/>
      <c r="Y30" s="187"/>
      <c r="Z30" s="187"/>
      <c r="AA30" s="187"/>
      <c r="AB30" s="187"/>
      <c r="AC30"/>
      <c r="AD30"/>
      <c r="AE30"/>
      <c r="AF30"/>
      <c r="AG30"/>
      <c r="AH30"/>
      <c r="AI30"/>
      <c r="AJ30"/>
      <c r="AK30"/>
      <c r="AL30"/>
      <c r="AM30"/>
      <c r="AN30"/>
      <c r="AO30"/>
      <c r="AP30"/>
      <c r="AQ30"/>
      <c r="AR30"/>
      <c r="AS30"/>
      <c r="AT30"/>
      <c r="AU30"/>
      <c r="AV30"/>
      <c r="AW30"/>
      <c r="AX30"/>
      <c r="AY30"/>
      <c r="AZ30"/>
      <c r="BA30"/>
      <c r="BB30" s="14"/>
    </row>
    <row r="31" spans="1:54" ht="15.6" x14ac:dyDescent="0.3">
      <c r="A31" s="1">
        <f>IF(A30&lt;'Project Information'!B$11,A30+1,"")</f>
        <v>2034</v>
      </c>
      <c r="B31" s="22">
        <v>0</v>
      </c>
      <c r="C31" s="22">
        <f t="shared" si="0"/>
        <v>-8307</v>
      </c>
      <c r="D31" s="8">
        <f t="shared" si="1"/>
        <v>8307</v>
      </c>
      <c r="G31" s="13"/>
      <c r="H31" s="187" t="s">
        <v>373</v>
      </c>
      <c r="I31" s="234">
        <f>FLOOR(I25*$N$25*0.8,1)</f>
        <v>3859</v>
      </c>
      <c r="J31" s="234">
        <f>FLOOR(I25*$N$26*0.8,1)</f>
        <v>2562</v>
      </c>
      <c r="K31" s="248">
        <f>FLOOR(I25*$N$27*0.8,1)</f>
        <v>12</v>
      </c>
      <c r="L31" s="187"/>
      <c r="M31" s="248">
        <f>FLOOR(I25*0.2*0.05,1)</f>
        <v>79</v>
      </c>
      <c r="N31" s="248">
        <f>FLOOR(I25*J25*0.4,1)</f>
        <v>6</v>
      </c>
      <c r="O31" s="187"/>
      <c r="P31" s="271" t="s">
        <v>390</v>
      </c>
      <c r="Q31" s="272">
        <f>SUM($N$37:$N$39)</f>
        <v>15</v>
      </c>
      <c r="R31" s="264">
        <f>SUM($N$37:$N$39)</f>
        <v>15</v>
      </c>
      <c r="S31" s="264">
        <f>SUM($N$37:$N$39)</f>
        <v>15</v>
      </c>
      <c r="T31" s="187"/>
      <c r="U31" s="187"/>
      <c r="V31" s="187"/>
      <c r="W31" s="187"/>
      <c r="X31" s="187"/>
      <c r="Y31" s="187"/>
      <c r="Z31" s="187"/>
      <c r="AA31" s="187"/>
      <c r="AB31" s="187"/>
      <c r="AC31"/>
      <c r="AD31"/>
      <c r="AE31"/>
      <c r="AF31"/>
      <c r="AG31"/>
      <c r="AH31"/>
      <c r="AI31"/>
      <c r="AJ31"/>
      <c r="AK31"/>
      <c r="AL31"/>
      <c r="AM31"/>
      <c r="AN31"/>
      <c r="AO31"/>
      <c r="AP31"/>
      <c r="AQ31"/>
      <c r="AR31"/>
      <c r="AS31"/>
      <c r="AT31"/>
      <c r="AU31"/>
      <c r="AV31"/>
      <c r="AW31"/>
      <c r="AX31"/>
      <c r="AY31"/>
      <c r="AZ31"/>
      <c r="BA31"/>
      <c r="BB31" s="14"/>
    </row>
    <row r="32" spans="1:54" ht="15.6" x14ac:dyDescent="0.3">
      <c r="A32" s="1">
        <f>IF(A31&lt;'Project Information'!B$11,A31+1,"")</f>
        <v>2035</v>
      </c>
      <c r="B32" s="22">
        <v>0</v>
      </c>
      <c r="C32" s="22">
        <f t="shared" si="0"/>
        <v>-8307</v>
      </c>
      <c r="D32" s="8">
        <f t="shared" si="1"/>
        <v>8307</v>
      </c>
      <c r="G32" s="13"/>
      <c r="H32" s="187" t="s">
        <v>375</v>
      </c>
      <c r="I32" s="234">
        <f>FLOOR(I26*$N$25*0.8,1)</f>
        <v>11331</v>
      </c>
      <c r="J32" s="234">
        <f>FLOOR(I26*$N$26*0.8,1)</f>
        <v>7524</v>
      </c>
      <c r="K32" s="248">
        <f>FLOOR(I26*$N$27*0.8,1)</f>
        <v>37</v>
      </c>
      <c r="L32" s="187"/>
      <c r="M32" s="248">
        <f>FLOOR(I26*0.2*0.05,1)</f>
        <v>233</v>
      </c>
      <c r="N32" s="248">
        <f>FLOOR(I26*J26*0.4,1)</f>
        <v>18</v>
      </c>
      <c r="O32" s="187"/>
      <c r="P32" s="263" t="s">
        <v>391</v>
      </c>
      <c r="Q32" s="265">
        <f>SUM(K31:K33)+SUM($M$31:$M$33)</f>
        <v>862</v>
      </c>
      <c r="R32" s="265">
        <f>SUM(J31:J33)+SUM($M$31:$M$33)</f>
        <v>24738</v>
      </c>
      <c r="S32" s="265">
        <f>SUM(I31:I33)+SUM($M$31:$M$33)</f>
        <v>36880</v>
      </c>
      <c r="T32" s="187"/>
      <c r="U32" s="187"/>
      <c r="V32" s="187"/>
      <c r="W32" s="187"/>
      <c r="X32" s="187"/>
      <c r="Y32" s="187"/>
      <c r="Z32" s="187"/>
      <c r="AA32" s="187"/>
      <c r="AB32" s="187"/>
      <c r="AC32"/>
      <c r="AD32"/>
      <c r="AE32"/>
      <c r="AF32"/>
      <c r="AG32"/>
      <c r="AH32"/>
      <c r="AI32"/>
      <c r="AJ32"/>
      <c r="AK32"/>
      <c r="AL32"/>
      <c r="AM32"/>
      <c r="AN32"/>
      <c r="AO32"/>
      <c r="AP32"/>
      <c r="AQ32"/>
      <c r="AR32"/>
      <c r="AS32"/>
      <c r="AT32"/>
      <c r="AU32"/>
      <c r="AV32"/>
      <c r="AW32"/>
      <c r="AX32"/>
      <c r="AY32"/>
      <c r="AZ32"/>
      <c r="BA32"/>
      <c r="BB32" s="14"/>
    </row>
    <row r="33" spans="1:54" ht="16.2" thickBot="1" x14ac:dyDescent="0.35">
      <c r="A33" s="1">
        <f>IF(A32&lt;'Project Information'!B$11,A32+1,"")</f>
        <v>2036</v>
      </c>
      <c r="B33" s="22">
        <v>0</v>
      </c>
      <c r="C33" s="22">
        <f t="shared" si="0"/>
        <v>-8307</v>
      </c>
      <c r="D33" s="8">
        <f t="shared" si="1"/>
        <v>8307</v>
      </c>
      <c r="G33" s="13"/>
      <c r="H33" s="187" t="s">
        <v>377</v>
      </c>
      <c r="I33" s="252">
        <f>FLOOR(I27*$N$25*0.8,1)</f>
        <v>20946</v>
      </c>
      <c r="J33" s="252">
        <f>FLOOR(I27*$N$26*0.8,1)</f>
        <v>13908</v>
      </c>
      <c r="K33" s="253">
        <f>FLOOR(I27*$N$27*0.8,1)</f>
        <v>69</v>
      </c>
      <c r="L33" s="187"/>
      <c r="M33" s="253">
        <f>FLOOR(I27*0.2*0.05,1)</f>
        <v>432</v>
      </c>
      <c r="N33" s="253">
        <f>FLOOR(I27*J27*0.4,1)</f>
        <v>34</v>
      </c>
      <c r="O33" s="187"/>
      <c r="P33" s="275" t="s">
        <v>392</v>
      </c>
      <c r="Q33" s="265">
        <f>SUM(K37:K39)+SUM($M$37:$M$39)</f>
        <v>238</v>
      </c>
      <c r="R33" s="274">
        <f>SUM(J37:J39)+SUM($M$37:$M$39)</f>
        <v>6908</v>
      </c>
      <c r="S33" s="265">
        <f>SUM(I37:I39)+SUM($M$37:$M$39)</f>
        <v>10300</v>
      </c>
      <c r="T33" s="187"/>
      <c r="U33" s="187"/>
      <c r="V33" s="187"/>
      <c r="W33" s="187"/>
      <c r="X33" s="187"/>
      <c r="Y33" s="187"/>
      <c r="Z33" s="187"/>
      <c r="AA33" s="187"/>
      <c r="AB33" s="187"/>
      <c r="AC33"/>
      <c r="AD33"/>
      <c r="AE33"/>
      <c r="AF33"/>
      <c r="AG33"/>
      <c r="AH33"/>
      <c r="AI33"/>
      <c r="AJ33"/>
      <c r="AK33"/>
      <c r="AL33"/>
      <c r="AM33"/>
      <c r="AN33"/>
      <c r="AO33"/>
      <c r="AP33"/>
      <c r="AQ33"/>
      <c r="AR33"/>
      <c r="AS33"/>
      <c r="AT33"/>
      <c r="AU33"/>
      <c r="AV33"/>
      <c r="AW33"/>
      <c r="AX33"/>
      <c r="AY33"/>
      <c r="AZ33"/>
      <c r="BA33"/>
      <c r="BB33" s="14"/>
    </row>
    <row r="34" spans="1:54" ht="15.6" x14ac:dyDescent="0.3">
      <c r="A34" s="1">
        <f>IF(A33&lt;'Project Information'!B$11,A33+1,"")</f>
        <v>2037</v>
      </c>
      <c r="B34" s="22">
        <v>0</v>
      </c>
      <c r="C34" s="22">
        <f t="shared" si="0"/>
        <v>-8307</v>
      </c>
      <c r="D34" s="8">
        <f t="shared" si="1"/>
        <v>8307</v>
      </c>
      <c r="G34" s="13"/>
      <c r="H34" s="187"/>
      <c r="I34" s="187"/>
      <c r="J34" s="187"/>
      <c r="K34" s="187"/>
      <c r="L34" s="187"/>
      <c r="M34" s="187"/>
      <c r="N34" s="187"/>
      <c r="O34" s="187"/>
      <c r="P34" s="187"/>
      <c r="Q34" s="266"/>
      <c r="R34" s="266"/>
      <c r="S34" s="266"/>
      <c r="T34" s="187"/>
      <c r="U34" s="187"/>
      <c r="V34" s="187"/>
      <c r="W34" s="187"/>
      <c r="X34" s="187"/>
      <c r="Y34" s="187"/>
      <c r="Z34" s="187"/>
      <c r="AA34" s="187"/>
      <c r="AB34" s="187"/>
      <c r="AC34"/>
      <c r="AD34"/>
      <c r="AE34"/>
      <c r="AF34"/>
      <c r="AG34"/>
      <c r="AH34"/>
      <c r="AI34"/>
      <c r="AJ34"/>
      <c r="AK34"/>
      <c r="AL34"/>
      <c r="AM34"/>
      <c r="AN34"/>
      <c r="AO34"/>
      <c r="AP34"/>
      <c r="AQ34"/>
      <c r="AR34"/>
      <c r="AS34"/>
      <c r="AT34"/>
      <c r="AU34"/>
      <c r="AV34"/>
      <c r="AW34"/>
      <c r="AX34"/>
      <c r="AY34"/>
      <c r="AZ34"/>
      <c r="BA34"/>
      <c r="BB34" s="14"/>
    </row>
    <row r="35" spans="1:54" ht="16.2" thickBot="1" x14ac:dyDescent="0.35">
      <c r="A35" s="1">
        <f>IF(A34&lt;'Project Information'!B$11,A34+1,"")</f>
        <v>2038</v>
      </c>
      <c r="B35" s="22">
        <v>0</v>
      </c>
      <c r="C35" s="22">
        <f t="shared" si="0"/>
        <v>-8307</v>
      </c>
      <c r="D35" s="8">
        <f t="shared" si="1"/>
        <v>8307</v>
      </c>
      <c r="G35" s="13"/>
      <c r="H35" s="187"/>
      <c r="I35" s="380" t="s">
        <v>393</v>
      </c>
      <c r="J35" s="381"/>
      <c r="K35" s="382"/>
      <c r="L35" s="187"/>
      <c r="M35" s="383" t="s">
        <v>394</v>
      </c>
      <c r="N35" s="383" t="s">
        <v>395</v>
      </c>
      <c r="O35" s="187"/>
      <c r="P35" s="268" t="s">
        <v>427</v>
      </c>
      <c r="Q35" s="269">
        <f>FLOOR(Q31*0.13*6*5*50*2*1.42,1)</f>
        <v>8307</v>
      </c>
      <c r="R35" s="270" t="s">
        <v>102</v>
      </c>
      <c r="S35" s="266"/>
      <c r="T35" s="187"/>
      <c r="U35" s="187"/>
      <c r="V35" s="187"/>
      <c r="W35" s="187"/>
      <c r="X35" s="187"/>
      <c r="Y35" s="187"/>
      <c r="Z35" s="187"/>
      <c r="AA35" s="187"/>
      <c r="AB35" s="187"/>
      <c r="AC35"/>
      <c r="AD35"/>
      <c r="AE35"/>
      <c r="AF35"/>
      <c r="AG35"/>
      <c r="AH35"/>
      <c r="AI35"/>
      <c r="AJ35"/>
      <c r="AK35"/>
      <c r="AL35"/>
      <c r="AM35"/>
      <c r="AN35"/>
      <c r="AO35"/>
      <c r="AP35"/>
      <c r="AQ35"/>
      <c r="AR35"/>
      <c r="AS35"/>
      <c r="AT35"/>
      <c r="AU35"/>
      <c r="AV35"/>
      <c r="AW35"/>
      <c r="AX35"/>
      <c r="AY35"/>
      <c r="AZ35"/>
      <c r="BA35"/>
      <c r="BB35" s="14"/>
    </row>
    <row r="36" spans="1:54" ht="16.2" thickBot="1" x14ac:dyDescent="0.35">
      <c r="A36" s="1">
        <f>IF(A35&lt;'Project Information'!B$11,A35+1,"")</f>
        <v>2039</v>
      </c>
      <c r="B36" s="22">
        <v>0</v>
      </c>
      <c r="C36" s="22">
        <f t="shared" si="0"/>
        <v>-8307</v>
      </c>
      <c r="D36" s="8">
        <f t="shared" si="1"/>
        <v>8307</v>
      </c>
      <c r="G36" s="13"/>
      <c r="H36" s="187" t="s">
        <v>428</v>
      </c>
      <c r="I36" s="259" t="s">
        <v>386</v>
      </c>
      <c r="J36" s="259" t="s">
        <v>387</v>
      </c>
      <c r="K36" s="260" t="s">
        <v>388</v>
      </c>
      <c r="L36" s="187"/>
      <c r="M36" s="384"/>
      <c r="N36" s="384"/>
      <c r="O36" s="187"/>
      <c r="P36" s="255"/>
      <c r="Q36" s="267"/>
      <c r="R36" s="267"/>
      <c r="S36" s="267"/>
      <c r="T36" s="187"/>
      <c r="U36" s="187"/>
      <c r="V36" s="187"/>
      <c r="W36" s="187"/>
      <c r="X36" s="187"/>
      <c r="Y36" s="187"/>
      <c r="Z36" s="187"/>
      <c r="AA36" s="187"/>
      <c r="AB36" s="187"/>
      <c r="AC36"/>
      <c r="AD36"/>
      <c r="AE36"/>
      <c r="AF36"/>
      <c r="AG36"/>
      <c r="AH36"/>
      <c r="AI36"/>
      <c r="AJ36"/>
      <c r="AK36"/>
      <c r="AL36"/>
      <c r="AM36"/>
      <c r="AN36"/>
      <c r="AO36"/>
      <c r="AP36"/>
      <c r="AQ36"/>
      <c r="AR36"/>
      <c r="AS36"/>
      <c r="AT36"/>
      <c r="AU36"/>
      <c r="AV36"/>
      <c r="AW36"/>
      <c r="AX36"/>
      <c r="AY36"/>
      <c r="AZ36"/>
      <c r="BA36"/>
      <c r="BB36" s="14"/>
    </row>
    <row r="37" spans="1:54" ht="15.6" x14ac:dyDescent="0.3">
      <c r="A37" s="1">
        <f>IF(A36&lt;'Project Information'!B$11,A36+1,"")</f>
        <v>2040</v>
      </c>
      <c r="B37" s="22">
        <v>0</v>
      </c>
      <c r="C37" s="22">
        <f t="shared" si="0"/>
        <v>-8307</v>
      </c>
      <c r="D37" s="8">
        <f t="shared" si="1"/>
        <v>8307</v>
      </c>
      <c r="G37" s="13"/>
      <c r="H37" s="187" t="s">
        <v>373</v>
      </c>
      <c r="I37" s="234">
        <f>FLOOR(I31*K25,1)</f>
        <v>1968</v>
      </c>
      <c r="J37" s="234">
        <f>FLOOR(J31*K25,1)</f>
        <v>1306</v>
      </c>
      <c r="K37" s="248">
        <f>FLOOR(K31*K25,1)</f>
        <v>6</v>
      </c>
      <c r="L37" s="187"/>
      <c r="M37" s="248">
        <f>FLOOR(M31*K25,1)</f>
        <v>40</v>
      </c>
      <c r="N37" s="248">
        <f>FLOOR(N31*K25,1)</f>
        <v>3</v>
      </c>
      <c r="O37" s="187"/>
      <c r="P37" s="255" t="s">
        <v>429</v>
      </c>
      <c r="Q37" s="267"/>
      <c r="R37" s="267"/>
      <c r="S37" s="267"/>
      <c r="T37" s="187"/>
      <c r="U37" s="187"/>
      <c r="V37" s="187"/>
      <c r="W37" s="187"/>
      <c r="X37" s="187"/>
      <c r="Y37" s="187"/>
      <c r="Z37" s="187"/>
      <c r="AA37" s="187"/>
      <c r="AB37" s="187"/>
      <c r="AC37"/>
      <c r="AD37"/>
      <c r="AE37"/>
      <c r="AF37"/>
      <c r="AG37"/>
      <c r="AH37"/>
      <c r="AI37"/>
      <c r="AJ37"/>
      <c r="AK37"/>
      <c r="AL37"/>
      <c r="AM37"/>
      <c r="AN37"/>
      <c r="AO37"/>
      <c r="AP37"/>
      <c r="AQ37"/>
      <c r="AR37"/>
      <c r="AS37"/>
      <c r="AT37"/>
      <c r="AU37"/>
      <c r="AV37"/>
      <c r="AW37"/>
      <c r="AX37"/>
      <c r="AY37"/>
      <c r="AZ37"/>
      <c r="BA37"/>
      <c r="BB37" s="14"/>
    </row>
    <row r="38" spans="1:54" ht="15.6" x14ac:dyDescent="0.3">
      <c r="A38" s="1">
        <f>IF(A37&lt;'Project Information'!B$11,A37+1,"")</f>
        <v>2041</v>
      </c>
      <c r="B38" s="22">
        <v>0</v>
      </c>
      <c r="C38" s="22">
        <f t="shared" si="0"/>
        <v>-8307</v>
      </c>
      <c r="D38" s="8">
        <f t="shared" si="1"/>
        <v>8307</v>
      </c>
      <c r="G38" s="13"/>
      <c r="H38" s="187" t="s">
        <v>375</v>
      </c>
      <c r="I38" s="234">
        <f>FLOOR(I32*K26,1)</f>
        <v>4985</v>
      </c>
      <c r="J38" s="234">
        <f>FLOOR(J32*K26,1)</f>
        <v>3310</v>
      </c>
      <c r="K38" s="248">
        <f>FLOOR(K32*K26,1)</f>
        <v>16</v>
      </c>
      <c r="L38" s="187"/>
      <c r="M38" s="248">
        <f>FLOOR(M32*K26,1)</f>
        <v>102</v>
      </c>
      <c r="N38" s="248">
        <f>FLOOR(N32*K26,1)</f>
        <v>7</v>
      </c>
      <c r="O38" s="187"/>
      <c r="P38" s="255" t="s">
        <v>430</v>
      </c>
      <c r="Q38" s="267"/>
      <c r="R38" s="267"/>
      <c r="S38" s="267"/>
      <c r="T38" s="187"/>
      <c r="U38" s="187"/>
      <c r="V38" s="187"/>
      <c r="W38" s="187"/>
      <c r="X38" s="187"/>
      <c r="Y38" s="187"/>
      <c r="Z38" s="187"/>
      <c r="AA38" s="187"/>
      <c r="AB38" s="187"/>
      <c r="AC38"/>
      <c r="AD38"/>
      <c r="AE38"/>
      <c r="AF38"/>
      <c r="AG38"/>
      <c r="AH38"/>
      <c r="AI38"/>
      <c r="AJ38"/>
      <c r="AK38"/>
      <c r="AL38"/>
      <c r="AM38"/>
      <c r="AN38"/>
      <c r="AO38"/>
      <c r="AP38"/>
      <c r="AQ38"/>
      <c r="AR38"/>
      <c r="AS38"/>
      <c r="AT38"/>
      <c r="AU38"/>
      <c r="AV38"/>
      <c r="AW38"/>
      <c r="AX38"/>
      <c r="AY38"/>
      <c r="AZ38"/>
      <c r="BA38"/>
      <c r="BB38" s="14"/>
    </row>
    <row r="39" spans="1:54" ht="15.6" x14ac:dyDescent="0.3">
      <c r="A39" s="1">
        <f>IF(A38&lt;'Project Information'!B$11,A38+1,"")</f>
        <v>2042</v>
      </c>
      <c r="B39" s="22">
        <v>0</v>
      </c>
      <c r="C39" s="22">
        <f t="shared" si="0"/>
        <v>-8307</v>
      </c>
      <c r="D39" s="8">
        <f t="shared" si="1"/>
        <v>8307</v>
      </c>
      <c r="G39" s="13"/>
      <c r="H39" s="187" t="s">
        <v>377</v>
      </c>
      <c r="I39" s="252">
        <f>FLOOR(I33*K27,1)</f>
        <v>3141</v>
      </c>
      <c r="J39" s="252">
        <f>FLOOR(J33*K27,1)</f>
        <v>2086</v>
      </c>
      <c r="K39" s="253">
        <f>FLOOR(K33*K27,1)</f>
        <v>10</v>
      </c>
      <c r="L39" s="187"/>
      <c r="M39" s="253">
        <f>FLOOR(M33*K27,1)</f>
        <v>64</v>
      </c>
      <c r="N39" s="253">
        <f>FLOOR(N33*K27,1)</f>
        <v>5</v>
      </c>
      <c r="O39" s="187"/>
      <c r="P39" s="255" t="s">
        <v>431</v>
      </c>
      <c r="Q39" s="267"/>
      <c r="R39" s="267"/>
      <c r="S39" s="267"/>
      <c r="T39" s="187"/>
      <c r="U39" s="187"/>
      <c r="V39" s="187"/>
      <c r="W39" s="187"/>
      <c r="X39" s="187"/>
      <c r="Y39" s="187"/>
      <c r="Z39" s="187"/>
      <c r="AA39" s="187"/>
      <c r="AB39" s="187"/>
      <c r="AC39"/>
      <c r="AD39"/>
      <c r="AE39"/>
      <c r="AF39"/>
      <c r="AG39"/>
      <c r="AH39"/>
      <c r="AI39"/>
      <c r="AJ39"/>
      <c r="AK39"/>
      <c r="AL39"/>
      <c r="AM39"/>
      <c r="AN39"/>
      <c r="AO39"/>
      <c r="AP39"/>
      <c r="AQ39"/>
      <c r="AR39"/>
      <c r="AS39"/>
      <c r="AT39"/>
      <c r="AU39"/>
      <c r="AV39"/>
      <c r="AW39"/>
      <c r="AX39"/>
      <c r="AY39"/>
      <c r="AZ39"/>
      <c r="BA39"/>
      <c r="BB39" s="14"/>
    </row>
    <row r="40" spans="1:54" ht="15.6" x14ac:dyDescent="0.3">
      <c r="A40" s="1">
        <f>IF(A39&lt;'Project Information'!B$11,A39+1,"")</f>
        <v>2043</v>
      </c>
      <c r="B40" s="22">
        <v>0</v>
      </c>
      <c r="C40" s="22">
        <f t="shared" si="0"/>
        <v>-8307</v>
      </c>
      <c r="D40" s="8">
        <f t="shared" si="1"/>
        <v>8307</v>
      </c>
      <c r="G40" s="13"/>
      <c r="H40" s="187"/>
      <c r="I40" s="187"/>
      <c r="J40" s="187"/>
      <c r="K40" s="187"/>
      <c r="L40" s="187"/>
      <c r="M40" s="187"/>
      <c r="N40" s="187"/>
      <c r="O40" s="187"/>
      <c r="P40" s="255" t="s">
        <v>432</v>
      </c>
      <c r="Q40" s="187"/>
      <c r="R40" s="187"/>
      <c r="S40" s="187"/>
      <c r="T40" s="187"/>
      <c r="U40" s="187"/>
      <c r="V40" s="187"/>
      <c r="W40" s="187"/>
      <c r="X40" s="187"/>
      <c r="Y40" s="187"/>
      <c r="Z40" s="187"/>
      <c r="AA40" s="187"/>
      <c r="AB40" s="187"/>
      <c r="AC40"/>
      <c r="AD40"/>
      <c r="AE40"/>
      <c r="AF40"/>
      <c r="AG40"/>
      <c r="AH40"/>
      <c r="AI40"/>
      <c r="AJ40"/>
      <c r="AK40"/>
      <c r="AL40"/>
      <c r="AM40"/>
      <c r="AN40"/>
      <c r="AO40"/>
      <c r="AP40"/>
      <c r="AQ40"/>
      <c r="AR40"/>
      <c r="AS40"/>
      <c r="AT40"/>
      <c r="AU40"/>
      <c r="AV40"/>
      <c r="AW40"/>
      <c r="AX40"/>
      <c r="AY40"/>
      <c r="AZ40"/>
      <c r="BA40"/>
      <c r="BB40" s="14"/>
    </row>
    <row r="41" spans="1:54" x14ac:dyDescent="0.3">
      <c r="A41" s="1">
        <f>IF(A40&lt;'Project Information'!B$11,A40+1,"")</f>
        <v>2044</v>
      </c>
      <c r="B41" s="22">
        <v>0</v>
      </c>
      <c r="C41" s="22">
        <f t="shared" si="0"/>
        <v>-8307</v>
      </c>
      <c r="D41" s="8">
        <f t="shared" si="1"/>
        <v>8307</v>
      </c>
      <c r="G41" s="13"/>
      <c r="H41" s="187"/>
      <c r="I41" s="187"/>
      <c r="J41" s="187"/>
      <c r="K41" s="187"/>
      <c r="L41" s="187"/>
      <c r="M41" s="187"/>
      <c r="N41" s="187"/>
      <c r="O41" s="187"/>
      <c r="P41" s="187"/>
      <c r="Q41" s="187"/>
      <c r="R41" s="187"/>
      <c r="S41" s="187"/>
      <c r="T41" s="187"/>
      <c r="U41" s="187"/>
      <c r="V41" s="187"/>
      <c r="W41" s="187"/>
      <c r="X41" s="187"/>
      <c r="Y41" s="187"/>
      <c r="Z41" s="187"/>
      <c r="AA41" s="187"/>
      <c r="AB41" s="187"/>
      <c r="AC41"/>
      <c r="AD41"/>
      <c r="AE41"/>
      <c r="AF41"/>
      <c r="AG41"/>
      <c r="AH41"/>
      <c r="AI41"/>
      <c r="AJ41"/>
      <c r="AK41"/>
      <c r="AL41"/>
      <c r="AM41"/>
      <c r="AN41"/>
      <c r="AO41"/>
      <c r="AP41"/>
      <c r="AQ41"/>
      <c r="AR41"/>
      <c r="AS41"/>
      <c r="AT41"/>
      <c r="AU41"/>
      <c r="AV41"/>
      <c r="AW41"/>
      <c r="AX41"/>
      <c r="AY41"/>
      <c r="AZ41"/>
      <c r="BA41"/>
      <c r="BB41" s="14"/>
    </row>
    <row r="42" spans="1:54" x14ac:dyDescent="0.3">
      <c r="A42" s="1">
        <f>IF(A41&lt;'Project Information'!B$11,A41+1,"")</f>
        <v>2045</v>
      </c>
      <c r="B42" s="22">
        <v>0</v>
      </c>
      <c r="C42" s="22">
        <f t="shared" si="0"/>
        <v>-8307</v>
      </c>
      <c r="D42" s="8">
        <f t="shared" si="1"/>
        <v>8307</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
      <c r="A43" s="1">
        <f>IF(A42&lt;'Project Information'!B$11,A42+1,"")</f>
        <v>2046</v>
      </c>
      <c r="B43" s="22">
        <v>0</v>
      </c>
      <c r="C43" s="22">
        <f t="shared" si="0"/>
        <v>-8307</v>
      </c>
      <c r="D43" s="8">
        <f t="shared" si="1"/>
        <v>8307</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
      <c r="A44" s="1">
        <f>IF(A43&lt;'Project Information'!B$11,A43+1,"")</f>
        <v>2047</v>
      </c>
      <c r="B44" s="22">
        <v>0</v>
      </c>
      <c r="C44" s="22">
        <f t="shared" si="0"/>
        <v>-8307</v>
      </c>
      <c r="D44" s="8">
        <f t="shared" si="1"/>
        <v>8307</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
      <c r="A45" s="1">
        <f>IF(A44&lt;'Project Information'!B$11,A44+1,"")</f>
        <v>2048</v>
      </c>
      <c r="B45" s="22">
        <v>0</v>
      </c>
      <c r="C45" s="22">
        <f t="shared" si="0"/>
        <v>-8307</v>
      </c>
      <c r="D45" s="8">
        <f t="shared" si="1"/>
        <v>8307</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
      <c r="A46" s="1" t="str">
        <f>IF(A45&lt;'Project Information'!B$11,A45+1,"")</f>
        <v/>
      </c>
      <c r="B46" s="22">
        <v>0</v>
      </c>
      <c r="C46" s="22">
        <v>0</v>
      </c>
      <c r="D46" s="8">
        <f t="shared" si="1"/>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
      <c r="A47" s="1" t="str">
        <f>IF(A46&lt;'Project Information'!B$11,A46+1,"")</f>
        <v/>
      </c>
      <c r="B47" s="22">
        <v>0</v>
      </c>
      <c r="C47" s="22">
        <v>0</v>
      </c>
      <c r="D47" s="8">
        <f t="shared" si="1"/>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
      <c r="A48" s="1" t="str">
        <f>IF(A47&lt;'Project Information'!B$11,A47+1,"")</f>
        <v/>
      </c>
      <c r="B48" s="22">
        <v>0</v>
      </c>
      <c r="C48" s="22">
        <v>0</v>
      </c>
      <c r="D48" s="8">
        <f t="shared" si="1"/>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
      <c r="A49" s="1" t="str">
        <f>IF(A48&lt;'Project Information'!B$11,A48+1,"")</f>
        <v/>
      </c>
      <c r="B49" s="22">
        <v>0</v>
      </c>
      <c r="C49" s="22">
        <v>0</v>
      </c>
      <c r="D49" s="8">
        <f t="shared" si="1"/>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
      <c r="A50" s="1" t="str">
        <f>IF(A49&lt;'Project Information'!B$11,A49+1,"")</f>
        <v/>
      </c>
      <c r="B50" s="22">
        <v>0</v>
      </c>
      <c r="C50" s="22">
        <v>0</v>
      </c>
      <c r="D50" s="8">
        <f t="shared" si="1"/>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
      <c r="A51" s="1" t="str">
        <f>IF(A50&lt;'Project Information'!B$11,A50+1,"")</f>
        <v/>
      </c>
      <c r="B51" s="22">
        <v>0</v>
      </c>
      <c r="C51" s="22">
        <v>0</v>
      </c>
      <c r="D51" s="8">
        <f t="shared" si="1"/>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
      <c r="A52" s="1" t="str">
        <f>IF(A51&lt;'Project Information'!B$11,A51+1,"")</f>
        <v/>
      </c>
      <c r="B52" s="22">
        <v>0</v>
      </c>
      <c r="C52" s="22">
        <v>0</v>
      </c>
      <c r="D52" s="8">
        <f t="shared" si="1"/>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
      <c r="A53" s="1" t="str">
        <f>IF(A52&lt;'Project Information'!B$11,A52+1,"")</f>
        <v/>
      </c>
      <c r="B53" s="22">
        <v>0</v>
      </c>
      <c r="C53" s="22">
        <v>0</v>
      </c>
      <c r="D53" s="8">
        <f t="shared" si="1"/>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
      <c r="A54" s="1" t="str">
        <f>IF(A53&lt;'Project Information'!B$11,A53+1,"")</f>
        <v/>
      </c>
      <c r="B54" s="22">
        <v>0</v>
      </c>
      <c r="C54" s="22">
        <v>0</v>
      </c>
      <c r="D54" s="8">
        <f t="shared" si="1"/>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
      <c r="A55" s="1" t="str">
        <f>IF(A54&lt;'Project Information'!B$11,A54+1,"")</f>
        <v/>
      </c>
      <c r="B55" s="22">
        <v>0</v>
      </c>
      <c r="C55" s="22">
        <v>0</v>
      </c>
      <c r="D55" s="9">
        <f t="shared" si="1"/>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3">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3">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3">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3">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3">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3">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3">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3">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3">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3">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3">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3">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3">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3">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3">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3">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ht="15" thickBot="1" x14ac:dyDescent="0.35">
      <c r="G108" s="13"/>
      <c r="H108"/>
      <c r="I108"/>
      <c r="J108"/>
      <c r="K108"/>
      <c r="L108"/>
      <c r="M108"/>
      <c r="N108"/>
      <c r="O108"/>
      <c r="P108"/>
      <c r="Q108"/>
      <c r="R108"/>
      <c r="S108"/>
      <c r="T108"/>
      <c r="U108"/>
      <c r="V108"/>
      <c r="W108"/>
      <c r="X108"/>
      <c r="Y108"/>
      <c r="Z108"/>
      <c r="AA108"/>
      <c r="AB108" s="16"/>
      <c r="AC108"/>
      <c r="AD108"/>
      <c r="AE108"/>
      <c r="AF108"/>
      <c r="AG108"/>
      <c r="AH108"/>
      <c r="AI108"/>
      <c r="AJ108"/>
      <c r="AK108"/>
      <c r="AL108"/>
      <c r="AM108"/>
      <c r="AN108"/>
      <c r="AO108"/>
      <c r="AP108"/>
      <c r="AQ108"/>
      <c r="AR108"/>
      <c r="AS108"/>
      <c r="AT108"/>
      <c r="AU108"/>
      <c r="AV108"/>
      <c r="AW108"/>
      <c r="AX108"/>
      <c r="AY108"/>
      <c r="AZ108"/>
      <c r="BA108"/>
      <c r="BB108" s="14"/>
    </row>
    <row r="109" spans="7:54" ht="15" thickBot="1" x14ac:dyDescent="0.35">
      <c r="G109" s="13"/>
      <c r="H109" s="16"/>
      <c r="I109" s="16"/>
      <c r="J109" s="16"/>
      <c r="K109" s="16"/>
      <c r="L109" s="16"/>
      <c r="M109" s="16"/>
      <c r="N109" s="16"/>
      <c r="O109" s="16"/>
      <c r="P109" s="16"/>
      <c r="Q109" s="16"/>
      <c r="R109" s="16"/>
      <c r="S109" s="16"/>
      <c r="T109" s="16"/>
      <c r="U109" s="16"/>
      <c r="V109" s="16"/>
      <c r="W109" s="16"/>
      <c r="X109" s="16"/>
      <c r="Y109" s="16"/>
      <c r="Z109" s="16"/>
      <c r="AA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row r="110" spans="7:54" x14ac:dyDescent="0.3">
      <c r="G110" s="13"/>
    </row>
    <row r="111" spans="7:54" x14ac:dyDescent="0.3">
      <c r="G111" s="13"/>
    </row>
    <row r="112" spans="7:54" x14ac:dyDescent="0.3">
      <c r="G112" s="13"/>
    </row>
    <row r="113" spans="7:7" x14ac:dyDescent="0.3">
      <c r="G113" s="13"/>
    </row>
    <row r="114" spans="7:7" x14ac:dyDescent="0.3">
      <c r="G114" s="13"/>
    </row>
    <row r="115" spans="7:7" ht="15" thickBot="1" x14ac:dyDescent="0.35">
      <c r="G115" s="15"/>
    </row>
  </sheetData>
  <mergeCells count="7">
    <mergeCell ref="Q28:S28"/>
    <mergeCell ref="I29:K29"/>
    <mergeCell ref="M29:M30"/>
    <mergeCell ref="N29:N30"/>
    <mergeCell ref="I35:K35"/>
    <mergeCell ref="M35:M36"/>
    <mergeCell ref="N35:N36"/>
  </mergeCells>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1-CYCLING RECREATION</vt:lpstr>
      <vt:lpstr>Other 2-WALKING RECREATION</vt:lpstr>
      <vt:lpstr>Other 3-MOBILITY</vt:lpstr>
      <vt:lpstr>Other Benefit 4</vt:lpstr>
      <vt:lpstr>Summary</vt:lpstr>
      <vt:lpstr>Final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Allen Gallant</cp:lastModifiedBy>
  <cp:lastPrinted>2024-02-22T00:48:26Z</cp:lastPrinted>
  <dcterms:created xsi:type="dcterms:W3CDTF">2023-03-14T14:10:51Z</dcterms:created>
  <dcterms:modified xsi:type="dcterms:W3CDTF">2024-02-27T15:08:27Z</dcterms:modified>
</cp:coreProperties>
</file>